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-45" windowWidth="16650" windowHeight="8925"/>
  </bookViews>
  <sheets>
    <sheet name="First Five Year Program (prop)" sheetId="1" r:id="rId1"/>
  </sheets>
  <definedNames>
    <definedName name="_xlnm.Print_Area" localSheetId="0">'First Five Year Program (prop)'!$D$1:$AC$63</definedName>
    <definedName name="_xlnm.Print_Titles" localSheetId="0">'First Five Year Program (prop)'!$1:$6</definedName>
  </definedNames>
  <calcPr calcId="124519"/>
</workbook>
</file>

<file path=xl/calcChain.xml><?xml version="1.0" encoding="utf-8"?>
<calcChain xmlns="http://schemas.openxmlformats.org/spreadsheetml/2006/main">
  <c r="AA60" i="1"/>
  <c r="R56"/>
  <c r="T56" s="1"/>
  <c r="AC56" s="1"/>
  <c r="Q55"/>
  <c r="R55" s="1"/>
  <c r="R54"/>
  <c r="R53"/>
  <c r="R52"/>
  <c r="X52" s="1"/>
  <c r="AC52" s="1"/>
  <c r="R51"/>
  <c r="X51" s="1"/>
  <c r="R50"/>
  <c r="T50" s="1"/>
  <c r="AC50" s="1"/>
  <c r="R49"/>
  <c r="X49" s="1"/>
  <c r="AC49" s="1"/>
  <c r="R48"/>
  <c r="R47"/>
  <c r="V47" s="1"/>
  <c r="R46"/>
  <c r="T46" s="1"/>
  <c r="R45"/>
  <c r="R44"/>
  <c r="X44" s="1"/>
  <c r="AC44" s="1"/>
  <c r="R43"/>
  <c r="AB43" s="1"/>
  <c r="AC43" s="1"/>
  <c r="Q42"/>
  <c r="R42" s="1"/>
  <c r="V42" s="1"/>
  <c r="AC42" s="1"/>
  <c r="R41"/>
  <c r="R40"/>
  <c r="R39"/>
  <c r="O38"/>
  <c r="O62" s="1"/>
  <c r="R37"/>
  <c r="X37" s="1"/>
  <c r="AC37" s="1"/>
  <c r="R36"/>
  <c r="R35"/>
  <c r="S35" s="1"/>
  <c r="R34"/>
  <c r="T34" s="1"/>
  <c r="AC34" s="1"/>
  <c r="R33"/>
  <c r="AB33" s="1"/>
  <c r="AA2" s="1"/>
  <c r="R32"/>
  <c r="T32" s="1"/>
  <c r="AC32" s="1"/>
  <c r="V31"/>
  <c r="AC31" s="1"/>
  <c r="R31"/>
  <c r="R30"/>
  <c r="AC29"/>
  <c r="U28"/>
  <c r="R28"/>
  <c r="R27"/>
  <c r="Z27" s="1"/>
  <c r="AC27" s="1"/>
  <c r="R26"/>
  <c r="V26" s="1"/>
  <c r="AC26" s="1"/>
  <c r="R25"/>
  <c r="R24"/>
  <c r="U24" s="1"/>
  <c r="T23"/>
  <c r="AC23" s="1"/>
  <c r="Q23"/>
  <c r="R22"/>
  <c r="T22" s="1"/>
  <c r="AC22" s="1"/>
  <c r="X21"/>
  <c r="O21"/>
  <c r="R20"/>
  <c r="S20" s="1"/>
  <c r="R19"/>
  <c r="R18"/>
  <c r="S18" s="1"/>
  <c r="R17"/>
  <c r="AC16"/>
  <c r="AC3"/>
  <c r="Q62" l="1"/>
  <c r="U25"/>
  <c r="V25" s="1"/>
  <c r="AC25" s="1"/>
  <c r="R38"/>
  <c r="Z38" s="1"/>
  <c r="AC38" s="1"/>
  <c r="S40"/>
  <c r="V40" s="1"/>
  <c r="U51"/>
  <c r="AC51" s="1"/>
  <c r="U54"/>
  <c r="X54" s="1"/>
  <c r="AC54" s="1"/>
  <c r="S48"/>
  <c r="V48" s="1"/>
  <c r="AC48" s="1"/>
  <c r="AC46"/>
  <c r="X55"/>
  <c r="AC55" s="1"/>
  <c r="AB60"/>
  <c r="AB62" s="1"/>
  <c r="AC33"/>
  <c r="AA4"/>
  <c r="Y17"/>
  <c r="T18"/>
  <c r="S19"/>
  <c r="T19" s="1"/>
  <c r="T20"/>
  <c r="AC20" s="1"/>
  <c r="V21"/>
  <c r="V24"/>
  <c r="AC24" s="1"/>
  <c r="V28"/>
  <c r="AC28" s="1"/>
  <c r="X30"/>
  <c r="T35"/>
  <c r="AC35" s="1"/>
  <c r="T36"/>
  <c r="U39"/>
  <c r="S41"/>
  <c r="U45"/>
  <c r="X47"/>
  <c r="W53"/>
  <c r="R58"/>
  <c r="S2" l="1"/>
  <c r="S4" s="1"/>
  <c r="W2"/>
  <c r="X60"/>
  <c r="AC40"/>
  <c r="AC30"/>
  <c r="W4"/>
  <c r="Y60"/>
  <c r="AC19"/>
  <c r="AC47"/>
  <c r="Z39"/>
  <c r="AC39" s="1"/>
  <c r="Z17"/>
  <c r="AA62"/>
  <c r="V41"/>
  <c r="AC41" s="1"/>
  <c r="V36"/>
  <c r="AC36" s="1"/>
  <c r="W60"/>
  <c r="W62" s="1"/>
  <c r="AC21"/>
  <c r="Z53"/>
  <c r="AC53" s="1"/>
  <c r="Z45"/>
  <c r="AC45" s="1"/>
  <c r="S60"/>
  <c r="AC18"/>
  <c r="U60"/>
  <c r="Y2" l="1"/>
  <c r="Y4" s="1"/>
  <c r="U2"/>
  <c r="U4" s="1"/>
  <c r="V60"/>
  <c r="V62" s="1"/>
  <c r="Z60"/>
  <c r="Z62" s="1"/>
  <c r="X62"/>
  <c r="AC17"/>
  <c r="Y62" l="1"/>
  <c r="U62"/>
  <c r="T60" l="1"/>
  <c r="T62" s="1"/>
  <c r="AC2"/>
  <c r="AC7"/>
  <c r="AC63" s="1"/>
  <c r="AA63" l="1"/>
  <c r="S62"/>
</calcChain>
</file>

<file path=xl/sharedStrings.xml><?xml version="1.0" encoding="utf-8"?>
<sst xmlns="http://schemas.openxmlformats.org/spreadsheetml/2006/main" count="535" uniqueCount="253">
  <si>
    <t>Identification</t>
  </si>
  <si>
    <t>Location</t>
  </si>
  <si>
    <t>Description</t>
  </si>
  <si>
    <t>Status</t>
  </si>
  <si>
    <t>Source</t>
  </si>
  <si>
    <t>FY 2011/12</t>
  </si>
  <si>
    <t>FY 2012/13</t>
  </si>
  <si>
    <t>FY 2013/14</t>
  </si>
  <si>
    <t>FY 2014/15</t>
  </si>
  <si>
    <t>FY 2015/16</t>
  </si>
  <si>
    <t>Total</t>
  </si>
  <si>
    <t>GIS Number</t>
  </si>
  <si>
    <t>ID</t>
  </si>
  <si>
    <t>Type</t>
  </si>
  <si>
    <t>Facility</t>
  </si>
  <si>
    <t>Limits</t>
  </si>
  <si>
    <t>City/County</t>
  </si>
  <si>
    <t>Lead Agency</t>
  </si>
  <si>
    <t>Document</t>
  </si>
  <si>
    <t>MOU: Design &amp; ROW</t>
  </si>
  <si>
    <t>MOU: Construction</t>
  </si>
  <si>
    <t>Cost Estimate</t>
  </si>
  <si>
    <t>Funding</t>
  </si>
  <si>
    <t>Committed Funds</t>
  </si>
  <si>
    <t>Shortfall / Measure R Request</t>
  </si>
  <si>
    <t>Const</t>
  </si>
  <si>
    <t>Contingency</t>
  </si>
  <si>
    <t>Program Contingency</t>
  </si>
  <si>
    <t>Program Management</t>
  </si>
  <si>
    <t>B15</t>
  </si>
  <si>
    <t>SR-1</t>
  </si>
  <si>
    <t>from Imperial Highway to Crenshaw Boulevard</t>
  </si>
  <si>
    <t>Bundle: Implement PCH Study Recommendations</t>
  </si>
  <si>
    <t>PCH Study (2009)</t>
  </si>
  <si>
    <t>F39</t>
  </si>
  <si>
    <t>Arterial</t>
  </si>
  <si>
    <t>Sepulveda Boulevard</t>
  </si>
  <si>
    <t>from Imperial Highway to El Segundo Boulevard</t>
  </si>
  <si>
    <t>El Segundo</t>
  </si>
  <si>
    <t>PCH Study Improvements: Implement PCH Study Recommendations (8)</t>
  </si>
  <si>
    <t>Concept</t>
  </si>
  <si>
    <t>No Funds</t>
  </si>
  <si>
    <t>F45</t>
  </si>
  <si>
    <t>Pacific Coast Highway</t>
  </si>
  <si>
    <t>from Artesia Boulevard to Anita Street</t>
  </si>
  <si>
    <t>Hermosa Beach</t>
  </si>
  <si>
    <t>PCH Study Improvements: Implement PCH Study Recommendations</t>
  </si>
  <si>
    <t>Yes</t>
  </si>
  <si>
    <t>F49</t>
  </si>
  <si>
    <t>from Palos Verdes Boulevard to Crenshaw Boulevard</t>
  </si>
  <si>
    <t>Torrance</t>
  </si>
  <si>
    <t>F46</t>
  </si>
  <si>
    <t>from Anita Street to Palos Verdes Boulevard</t>
  </si>
  <si>
    <t>Redondo Beach</t>
  </si>
  <si>
    <t>PCH Study Improvements: Implement PCH Study Recommendations (11)</t>
  </si>
  <si>
    <t>F41</t>
  </si>
  <si>
    <t>from 33rd Street to south of Rosecrans Avenue</t>
  </si>
  <si>
    <t>Manhattan Beach</t>
  </si>
  <si>
    <t>Add one northbound lane by widening bridge no. 53-62</t>
  </si>
  <si>
    <t>SBCCOG List</t>
  </si>
  <si>
    <t>City advertised for conceptual design  8/10, 2013/2014 construction</t>
  </si>
  <si>
    <t>CFP: $6.8m City Funds: $3.916m</t>
  </si>
  <si>
    <t>F11</t>
  </si>
  <si>
    <t>Rosecrans Avenue</t>
  </si>
  <si>
    <t>From I-405 Southbound off-ramp to Isis Avenue</t>
  </si>
  <si>
    <t>Hawthorne</t>
  </si>
  <si>
    <t>Widen Rosecrans Avenue to accommodate southbound off-ramp receiving lane.</t>
  </si>
  <si>
    <t>City</t>
  </si>
  <si>
    <t>Design 80%, City has ROW</t>
  </si>
  <si>
    <t>No</t>
  </si>
  <si>
    <t>$1.4 million from HSIP</t>
  </si>
  <si>
    <t>F42</t>
  </si>
  <si>
    <t>at Marine Avenue</t>
  </si>
  <si>
    <t>Add westbound dual left turns</t>
  </si>
  <si>
    <t>Design and Caltrans Permit complete, City has ROW</t>
  </si>
  <si>
    <t>FN 1</t>
  </si>
  <si>
    <t>ITS</t>
  </si>
  <si>
    <t>Pacific Coast Highway and  Parallel Arterials</t>
  </si>
  <si>
    <t>From Imperial Highway to Artesia Boulevard</t>
  </si>
  <si>
    <t>County, El Segundo, Hawthorne, Manhattan Beach</t>
  </si>
  <si>
    <t>PCH North Corridor - Improve traffic operations and implement ITS Elements.  North/South: Pacific Coast Higheway, Aviation Boulevard.  East/West: Imperial Highway, El Segundo Blvd., Rosecrans Ave., Manhattan Beach Blvd., Artesia Blvd.</t>
  </si>
  <si>
    <t>Iteris Team</t>
  </si>
  <si>
    <t>Caltrans</t>
  </si>
  <si>
    <t>FN 2</t>
  </si>
  <si>
    <t xml:space="preserve">
Palos Verde Blvd to I-110</t>
  </si>
  <si>
    <t>County, Lomita, Torrance</t>
  </si>
  <si>
    <t>PCH South Corridor-- Torrance Area ATMS.  Improve traffic operations and implement ITS Elements</t>
  </si>
  <si>
    <t>N6</t>
  </si>
  <si>
    <t>Various</t>
  </si>
  <si>
    <t>Inglewood</t>
  </si>
  <si>
    <t>4th Phase of Citywide ITS Master Plan (central computer system with fiber optic interconnection linking all signalized intersections for two-way communications)</t>
  </si>
  <si>
    <t>Concept Phase</t>
  </si>
  <si>
    <t>No funds</t>
  </si>
  <si>
    <t>N32</t>
  </si>
  <si>
    <t>Del Amo  Boulevard</t>
  </si>
  <si>
    <t>from Normandie Boulevard to Vermont Avenue</t>
  </si>
  <si>
    <t>County</t>
  </si>
  <si>
    <t>Reconstruct and widen from one lane in each direction to two lanes in each direction</t>
  </si>
  <si>
    <t>Preliminary Design Complete</t>
  </si>
  <si>
    <t>$2.4m in SAFTEA-Lu and $600k in Local Funds</t>
  </si>
  <si>
    <t>F29</t>
  </si>
  <si>
    <t>I-405 &amp; Arterial Roadways</t>
  </si>
  <si>
    <t>Imperial Highway to Carson on I-405 and Parallel Arterials</t>
  </si>
  <si>
    <t>Carson, County, Lawndale, Hawthorne, Redondo Beach, Torrance</t>
  </si>
  <si>
    <t>I-405 Congestion Relief Corridor: Ramp and Arterial ITS Integration Freeway/Arterial/Interchange Corridor System Management - Roasecrans Ave., Manhattan Beach Blvd., Artesia Blvd., Inglewood Ave., Hawthorne Blvd., Crenshaw Blvd.</t>
  </si>
  <si>
    <t>SBCCOG</t>
  </si>
  <si>
    <t>B11</t>
  </si>
  <si>
    <t>Aviation Boulevard</t>
  </si>
  <si>
    <t>Aviation Boulevard Improvement Projects</t>
  </si>
  <si>
    <t>County, El Segundo, Manhattan Beach, Redondo Beach, Hermosa Beach</t>
  </si>
  <si>
    <t>Phase 1: Intersection Improvements: N12, N13, N14, N17, N56 (fully funded County ITS project), N57, N58</t>
  </si>
  <si>
    <t>N13</t>
  </si>
  <si>
    <t>Add dual southbound left-turn lanes.   Aviation Boulevard Phase 1: Intersection Projects</t>
  </si>
  <si>
    <t>Preliminary Design</t>
  </si>
  <si>
    <t>N14</t>
  </si>
  <si>
    <t>Construct westbound right-turn lane.   Aviation Boulevard Phase 1: Intersection Projects</t>
  </si>
  <si>
    <t>Concept, ROW required</t>
  </si>
  <si>
    <t>Local: $300k</t>
  </si>
  <si>
    <t>N58</t>
  </si>
  <si>
    <t>at Artesia Boulevard</t>
  </si>
  <si>
    <t>Construct northbound right-turn lane.   Aviation Boulevard Phase 1: Intersection Projects</t>
  </si>
  <si>
    <t>Preliminary Design Complete, City has approval to take ROW</t>
  </si>
  <si>
    <t>N57</t>
  </si>
  <si>
    <t>Construct southbound right-turn lane.   Aviation Boulevard Phase 1: Intersection Projects</t>
  </si>
  <si>
    <t>No Funds, ROW dedication issue</t>
  </si>
  <si>
    <t>N17</t>
  </si>
  <si>
    <t>Construct eastbound right-turn lane.   Aviation Boulevard Phase 1: Intersection Projects</t>
  </si>
  <si>
    <t>Circulation Element Update</t>
  </si>
  <si>
    <t>F60</t>
  </si>
  <si>
    <t>I-405, I-110, I-105, SR-91</t>
  </si>
  <si>
    <t>at freeway ramp/arterial signalized intersections</t>
  </si>
  <si>
    <t>Carson, County, El Segundo, Hawthorne, Inglewood, Los Angeles, Lawndale, Redondo Beach, Torrance</t>
  </si>
  <si>
    <t>Coordinate freeway ramp/arterial intersections with arterial corridors.  (e.g. NB I-405 Off-Ramp at Artesia Boulevard, SB I-110 Off-Ramp at Pacific Coast Highway)</t>
  </si>
  <si>
    <t>N22</t>
  </si>
  <si>
    <t>Inglewood Avenue</t>
  </si>
  <si>
    <t>from 156th Street to I-405 southbound on-ramp</t>
  </si>
  <si>
    <t>Lawndale</t>
  </si>
  <si>
    <t>Extension of Phase 2 widening to I-405 southbound ramp</t>
  </si>
  <si>
    <t>F43</t>
  </si>
  <si>
    <t>at Manhattan Beach Boulevard</t>
  </si>
  <si>
    <t>Add northbound, westbound and eastbound dual left turn lanes and southbound right-turn lane</t>
  </si>
  <si>
    <t>Conceptual design and traffic analysis complete</t>
  </si>
  <si>
    <t>$500k in City funds</t>
  </si>
  <si>
    <t>F51</t>
  </si>
  <si>
    <t>at Hawthorne Boulevard</t>
  </si>
  <si>
    <t>Add northbound, eastbound, and westbound right-turn lane, add eastbound left-turn, signal upgrades</t>
  </si>
  <si>
    <t>City Traffic Study</t>
  </si>
  <si>
    <t>Preliminary Design Complete; PSR (2002)</t>
  </si>
  <si>
    <t>N25</t>
  </si>
  <si>
    <t>Citywide</t>
  </si>
  <si>
    <t>Traffic Signal Improvements Citywide</t>
  </si>
  <si>
    <t>F47</t>
  </si>
  <si>
    <t>at Torrance Boulevard</t>
  </si>
  <si>
    <t>Add northbound right-turn lane</t>
  </si>
  <si>
    <t>F48</t>
  </si>
  <si>
    <t>at Palos Verdes Boulevard</t>
  </si>
  <si>
    <t xml:space="preserve">Install westbound right-turn lane </t>
  </si>
  <si>
    <t>N34</t>
  </si>
  <si>
    <t>from Alameda Street to ICTF Driveway</t>
  </si>
  <si>
    <t>Carson</t>
  </si>
  <si>
    <t>Widen from four lanes to six lanes, rehabilitate bridge.</t>
  </si>
  <si>
    <t>SBCCOG List, 2008 RTIP</t>
  </si>
  <si>
    <t>Bridge funds programmed for 2014/2015</t>
  </si>
  <si>
    <t>Fed: $1.217m,
Agency: 3.625 million</t>
  </si>
  <si>
    <t>F44</t>
  </si>
  <si>
    <t>at Aviation Boulevard</t>
  </si>
  <si>
    <t>Add southbound dual left turn lanes</t>
  </si>
  <si>
    <t>Concept, ROW required (Park)</t>
  </si>
  <si>
    <t>N42</t>
  </si>
  <si>
    <t>from Vermont Avenue to Crenshaw Boulevard</t>
  </si>
  <si>
    <t>Gardena</t>
  </si>
  <si>
    <t>Install median, left turn pockets, intersection upgrade.  Coordinated with County TSSP project.</t>
  </si>
  <si>
    <t>PSRE</t>
  </si>
  <si>
    <t>N46</t>
  </si>
  <si>
    <t>Vista Del Mar</t>
  </si>
  <si>
    <t>north of southern City Limit</t>
  </si>
  <si>
    <t>Roadway safety improvements: realign S-Curve</t>
  </si>
  <si>
    <t>F2</t>
  </si>
  <si>
    <t>Ramp</t>
  </si>
  <si>
    <t>I-405</t>
  </si>
  <si>
    <t>at Manchester Blvd.</t>
  </si>
  <si>
    <t>Early Action: Improve turn radii at northbound I-405 off-ramp at Manchester Boulevard</t>
  </si>
  <si>
    <t>Caltrans/City</t>
  </si>
  <si>
    <t>P4</t>
  </si>
  <si>
    <t>Torrance Regional Transit Center</t>
  </si>
  <si>
    <t>465 Crenshaw Boulevard</t>
  </si>
  <si>
    <t>Construct a regional Transit Center including an 8 bus berth transit center building, a kiss-n-ride passenger drop-off, and a park-and-ride vehicle lot for 250 vehicles for the initial parking space provision</t>
  </si>
  <si>
    <t>In Design</t>
  </si>
  <si>
    <t>N47</t>
  </si>
  <si>
    <t>Maple Avenue</t>
  </si>
  <si>
    <t>at Sepulveda Boulevard</t>
  </si>
  <si>
    <t>Add southbound right-turn pocket</t>
  </si>
  <si>
    <t>N53</t>
  </si>
  <si>
    <t>Artesia Boulevard</t>
  </si>
  <si>
    <t>at Western Avenue</t>
  </si>
  <si>
    <t>Gardena, Torrance</t>
  </si>
  <si>
    <t>Add westbound dual left turns.</t>
  </si>
  <si>
    <t>N69</t>
  </si>
  <si>
    <t>from Sepulveda Boulevard to Parkview Avenue</t>
  </si>
  <si>
    <t>Improve signanage and roadway to provide a connection between northbound Sepulveda Boulevard and the eastbound I-105 ramps.</t>
  </si>
  <si>
    <t>F56</t>
  </si>
  <si>
    <t>Western Avenue</t>
  </si>
  <si>
    <t>at Palos Verdes Drive North</t>
  </si>
  <si>
    <t>Lomita/Los Angeles</t>
  </si>
  <si>
    <t>Intersection improvements</t>
  </si>
  <si>
    <t>Lomita</t>
  </si>
  <si>
    <t>N67</t>
  </si>
  <si>
    <t>Vermont Avenue</t>
  </si>
  <si>
    <t>From Rosecrans Avenue to 182nd Street</t>
  </si>
  <si>
    <t>Addition of turn pockets, channelization, pavement upgrade, traffic signal improvements, and minor concrete work</t>
  </si>
  <si>
    <t>N18</t>
  </si>
  <si>
    <t>Add southbound right-turn lane south of railroad tracks to Manhattan Beach Boulevard</t>
  </si>
  <si>
    <t>Preliminary Design Complete, ROW required</t>
  </si>
  <si>
    <t>F53</t>
  </si>
  <si>
    <t>at Walnut</t>
  </si>
  <si>
    <t>Improve receiving lane of northern leg of intersection</t>
  </si>
  <si>
    <t>N26</t>
  </si>
  <si>
    <t>Hawthorne Boulevard</t>
  </si>
  <si>
    <t>El Segundo Boulevard to Rosecrans Avenue</t>
  </si>
  <si>
    <t xml:space="preserve"> Improve traffic signals; add left-turn pockets; pedestrian, transit &amp; handicap access improvements.</t>
  </si>
  <si>
    <t>Metro: $2.916m, $2.11m Local Match</t>
  </si>
  <si>
    <t>N19</t>
  </si>
  <si>
    <t>Install eastbound right-turn arrow</t>
  </si>
  <si>
    <t>Estimated Total Early Action Program Cost</t>
  </si>
  <si>
    <t>FY 2011</t>
  </si>
  <si>
    <t>FY 2012</t>
  </si>
  <si>
    <t>FY 2013</t>
  </si>
  <si>
    <t>FY 2014</t>
  </si>
  <si>
    <t>FY 2015</t>
  </si>
  <si>
    <t>Design</t>
  </si>
  <si>
    <t>Proj. Development</t>
  </si>
  <si>
    <t>Strategic Positioning Reserve Funds</t>
  </si>
  <si>
    <t>F38</t>
  </si>
  <si>
    <t>Auxiliary lane</t>
  </si>
  <si>
    <t>I-110</t>
  </si>
  <si>
    <t>Southbound: I-405 to Del Amo Boulevard Undercrossing</t>
  </si>
  <si>
    <t>B7</t>
  </si>
  <si>
    <t>at 182nd St. / Crenshaw Boulevard</t>
  </si>
  <si>
    <t>PSR and PAED: Bundled Projects Group 7: F20, F21, F22, F23</t>
  </si>
  <si>
    <t>F58</t>
  </si>
  <si>
    <t>at I-110</t>
  </si>
  <si>
    <t>PSR: Construct new NB I-405 to SB I-110 connector, possibly a flyover ramp.</t>
  </si>
  <si>
    <t>PSR: Widened southbound from three to four lanes</t>
  </si>
  <si>
    <t>Program Development and Oversight</t>
  </si>
  <si>
    <t>Program Administration</t>
  </si>
  <si>
    <t>Early Action Contingency</t>
  </si>
  <si>
    <t>DRAFT South Bay Measure R Five-Year Funding Allocation</t>
  </si>
  <si>
    <t>DRAFT 5-Year Allocation (in '000s)</t>
  </si>
  <si>
    <t>Draft for Discussion: 4/21/2011</t>
  </si>
  <si>
    <t>Proj. Dev.</t>
  </si>
  <si>
    <t>Intersc.</t>
  </si>
  <si>
    <t>Arterial &amp; Ramp</t>
  </si>
  <si>
    <t>Park &amp; Ride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</si>
</sst>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0.0%"/>
  </numFmts>
  <fonts count="15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B050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i/>
      <sz val="8"/>
      <color indexed="10"/>
      <name val="Arial"/>
      <family val="2"/>
    </font>
    <font>
      <sz val="8"/>
      <color theme="1" tint="0.34998626667073579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</cellStyleXfs>
  <cellXfs count="198">
    <xf numFmtId="0" fontId="0" fillId="0" borderId="0" xfId="0"/>
    <xf numFmtId="0" fontId="5" fillId="0" borderId="4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 wrapText="1"/>
    </xf>
    <xf numFmtId="164" fontId="6" fillId="0" borderId="17" xfId="2" applyNumberFormat="1" applyFont="1" applyFill="1" applyBorder="1" applyAlignment="1">
      <alignment wrapText="1"/>
    </xf>
    <xf numFmtId="164" fontId="6" fillId="0" borderId="29" xfId="2" applyNumberFormat="1" applyFont="1" applyFill="1" applyBorder="1" applyAlignment="1">
      <alignment wrapText="1"/>
    </xf>
    <xf numFmtId="164" fontId="6" fillId="0" borderId="28" xfId="2" applyNumberFormat="1" applyFont="1" applyFill="1" applyBorder="1" applyAlignment="1">
      <alignment wrapText="1"/>
    </xf>
    <xf numFmtId="164" fontId="6" fillId="0" borderId="32" xfId="2" applyNumberFormat="1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9" fontId="6" fillId="0" borderId="11" xfId="3" applyFont="1" applyFill="1" applyBorder="1" applyAlignment="1">
      <alignment wrapText="1"/>
    </xf>
    <xf numFmtId="9" fontId="6" fillId="0" borderId="22" xfId="3" applyFont="1" applyFill="1" applyBorder="1" applyAlignment="1">
      <alignment wrapText="1"/>
    </xf>
    <xf numFmtId="9" fontId="6" fillId="0" borderId="8" xfId="3" applyFont="1" applyFill="1" applyBorder="1" applyAlignment="1">
      <alignment wrapText="1"/>
    </xf>
    <xf numFmtId="9" fontId="6" fillId="0" borderId="10" xfId="3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wrapText="1"/>
    </xf>
    <xf numFmtId="164" fontId="5" fillId="0" borderId="1" xfId="2" applyNumberFormat="1" applyFont="1" applyFill="1" applyBorder="1" applyAlignment="1">
      <alignment horizontal="centerContinuous"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164" fontId="6" fillId="0" borderId="5" xfId="2" applyNumberFormat="1" applyFont="1" applyFill="1" applyBorder="1" applyAlignment="1">
      <alignment horizontal="centerContinuous" wrapText="1"/>
    </xf>
    <xf numFmtId="0" fontId="6" fillId="0" borderId="6" xfId="0" applyFont="1" applyFill="1" applyBorder="1" applyAlignment="1">
      <alignment horizontal="centerContinuous" wrapText="1"/>
    </xf>
    <xf numFmtId="164" fontId="6" fillId="0" borderId="6" xfId="2" applyNumberFormat="1" applyFont="1" applyFill="1" applyBorder="1" applyAlignment="1">
      <alignment horizontal="centerContinuous" wrapText="1"/>
    </xf>
    <xf numFmtId="0" fontId="6" fillId="0" borderId="7" xfId="0" applyFont="1" applyFill="1" applyBorder="1" applyAlignment="1">
      <alignment horizontal="centerContinuous" wrapText="1"/>
    </xf>
    <xf numFmtId="164" fontId="6" fillId="0" borderId="8" xfId="2" applyNumberFormat="1" applyFont="1" applyFill="1" applyBorder="1" applyAlignment="1">
      <alignment horizontal="centerContinuous" wrapText="1"/>
    </xf>
    <xf numFmtId="0" fontId="6" fillId="0" borderId="9" xfId="0" applyFont="1" applyFill="1" applyBorder="1" applyAlignment="1">
      <alignment horizontal="centerContinuous" wrapText="1"/>
    </xf>
    <xf numFmtId="164" fontId="6" fillId="0" borderId="9" xfId="2" applyNumberFormat="1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Continuous" wrapText="1"/>
    </xf>
    <xf numFmtId="164" fontId="6" fillId="0" borderId="11" xfId="2" applyNumberFormat="1" applyFont="1" applyFill="1" applyBorder="1" applyAlignment="1">
      <alignment horizontal="centerContinuous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5" fontId="6" fillId="0" borderId="13" xfId="1" applyNumberFormat="1" applyFont="1" applyFill="1" applyBorder="1" applyAlignment="1">
      <alignment horizontal="center" vertical="center" wrapText="1"/>
    </xf>
    <xf numFmtId="5" fontId="6" fillId="0" borderId="16" xfId="1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vertical="center" wrapText="1"/>
    </xf>
    <xf numFmtId="5" fontId="5" fillId="3" borderId="24" xfId="0" applyNumberFormat="1" applyFont="1" applyFill="1" applyBorder="1" applyAlignment="1">
      <alignment vertical="center" wrapText="1"/>
    </xf>
    <xf numFmtId="5" fontId="6" fillId="4" borderId="16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5" fontId="6" fillId="0" borderId="27" xfId="1" applyNumberFormat="1" applyFont="1" applyFill="1" applyBorder="1" applyAlignment="1">
      <alignment horizontal="center" vertical="center" wrapText="1"/>
    </xf>
    <xf numFmtId="5" fontId="6" fillId="0" borderId="19" xfId="1" applyNumberFormat="1" applyFont="1" applyFill="1" applyBorder="1" applyAlignment="1">
      <alignment horizontal="center" vertical="center" wrapText="1"/>
    </xf>
    <xf numFmtId="5" fontId="5" fillId="3" borderId="26" xfId="0" applyNumberFormat="1" applyFont="1" applyFill="1" applyBorder="1" applyAlignment="1">
      <alignment vertical="center" wrapText="1"/>
    </xf>
    <xf numFmtId="5" fontId="6" fillId="4" borderId="19" xfId="0" applyNumberFormat="1" applyFont="1" applyFill="1" applyBorder="1" applyAlignment="1">
      <alignment horizontal="right" vertical="center" wrapText="1"/>
    </xf>
    <xf numFmtId="5" fontId="5" fillId="3" borderId="25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5" fontId="5" fillId="0" borderId="28" xfId="0" applyNumberFormat="1" applyFont="1" applyFill="1" applyBorder="1" applyAlignment="1">
      <alignment vertical="center" wrapText="1"/>
    </xf>
    <xf numFmtId="5" fontId="5" fillId="0" borderId="32" xfId="0" applyNumberFormat="1" applyFont="1" applyFill="1" applyBorder="1" applyAlignment="1">
      <alignment vertical="center" wrapText="1"/>
    </xf>
    <xf numFmtId="7" fontId="5" fillId="0" borderId="3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5" fontId="10" fillId="0" borderId="30" xfId="1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5" fontId="6" fillId="0" borderId="30" xfId="1" applyNumberFormat="1" applyFont="1" applyFill="1" applyBorder="1" applyAlignment="1">
      <alignment horizontal="center" vertical="center" wrapText="1"/>
    </xf>
    <xf numFmtId="5" fontId="6" fillId="0" borderId="3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5" fontId="5" fillId="4" borderId="33" xfId="0" applyNumberFormat="1" applyFont="1" applyFill="1" applyBorder="1" applyAlignment="1">
      <alignment vertical="center" wrapText="1"/>
    </xf>
    <xf numFmtId="5" fontId="5" fillId="4" borderId="30" xfId="0" applyNumberFormat="1" applyFont="1" applyFill="1" applyBorder="1" applyAlignment="1">
      <alignment vertical="center" wrapText="1"/>
    </xf>
    <xf numFmtId="5" fontId="5" fillId="0" borderId="30" xfId="0" applyNumberFormat="1" applyFont="1" applyFill="1" applyBorder="1" applyAlignment="1">
      <alignment vertical="center" wrapText="1"/>
    </xf>
    <xf numFmtId="5" fontId="6" fillId="0" borderId="31" xfId="0" applyNumberFormat="1" applyFont="1" applyFill="1" applyBorder="1" applyAlignment="1">
      <alignment vertical="center" wrapText="1"/>
    </xf>
    <xf numFmtId="5" fontId="5" fillId="0" borderId="0" xfId="0" applyNumberFormat="1" applyFont="1" applyFill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5" fontId="6" fillId="0" borderId="18" xfId="1" applyNumberFormat="1" applyFont="1" applyFill="1" applyBorder="1" applyAlignment="1">
      <alignment horizontal="center" vertical="center" wrapText="1"/>
    </xf>
    <xf numFmtId="5" fontId="6" fillId="0" borderId="29" xfId="1" applyNumberFormat="1" applyFont="1" applyFill="1" applyBorder="1" applyAlignment="1">
      <alignment horizontal="center" vertical="center" wrapText="1"/>
    </xf>
    <xf numFmtId="5" fontId="5" fillId="4" borderId="28" xfId="0" applyNumberFormat="1" applyFont="1" applyFill="1" applyBorder="1" applyAlignment="1">
      <alignment vertical="center" wrapText="1"/>
    </xf>
    <xf numFmtId="5" fontId="5" fillId="4" borderId="32" xfId="0" applyNumberFormat="1" applyFont="1" applyFill="1" applyBorder="1" applyAlignment="1">
      <alignment vertical="center" wrapText="1"/>
    </xf>
    <xf numFmtId="5" fontId="5" fillId="3" borderId="28" xfId="0" applyNumberFormat="1" applyFont="1" applyFill="1" applyBorder="1" applyAlignment="1">
      <alignment vertical="center" wrapText="1"/>
    </xf>
    <xf numFmtId="5" fontId="5" fillId="3" borderId="32" xfId="0" applyNumberFormat="1" applyFont="1" applyFill="1" applyBorder="1" applyAlignment="1">
      <alignment vertical="center" wrapText="1"/>
    </xf>
    <xf numFmtId="5" fontId="5" fillId="0" borderId="29" xfId="0" applyNumberFormat="1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right" vertical="center" wrapText="1"/>
    </xf>
    <xf numFmtId="5" fontId="11" fillId="0" borderId="18" xfId="1" applyNumberFormat="1" applyFont="1" applyFill="1" applyBorder="1" applyAlignment="1">
      <alignment horizontal="center" vertical="center" wrapText="1"/>
    </xf>
    <xf numFmtId="5" fontId="5" fillId="4" borderId="28" xfId="0" applyNumberFormat="1" applyFont="1" applyFill="1" applyBorder="1" applyAlignment="1">
      <alignment horizontal="centerContinuous" vertical="center" wrapText="1"/>
    </xf>
    <xf numFmtId="5" fontId="5" fillId="4" borderId="32" xfId="0" applyNumberFormat="1" applyFont="1" applyFill="1" applyBorder="1" applyAlignment="1">
      <alignment horizontal="centerContinuous" vertical="center" wrapText="1"/>
    </xf>
    <xf numFmtId="5" fontId="5" fillId="0" borderId="28" xfId="0" applyNumberFormat="1" applyFont="1" applyFill="1" applyBorder="1" applyAlignment="1">
      <alignment horizontal="centerContinuous" vertical="center" wrapText="1"/>
    </xf>
    <xf numFmtId="5" fontId="5" fillId="0" borderId="29" xfId="0" applyNumberFormat="1" applyFont="1" applyFill="1" applyBorder="1" applyAlignment="1">
      <alignment horizontal="centerContinuous" vertical="center" wrapText="1"/>
    </xf>
    <xf numFmtId="5" fontId="12" fillId="0" borderId="18" xfId="1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5" fontId="12" fillId="0" borderId="29" xfId="1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5" fontId="8" fillId="0" borderId="18" xfId="1" applyNumberFormat="1" applyFont="1" applyFill="1" applyBorder="1" applyAlignment="1">
      <alignment horizontal="center" vertical="center" wrapText="1"/>
    </xf>
    <xf numFmtId="5" fontId="8" fillId="0" borderId="18" xfId="0" applyNumberFormat="1" applyFont="1" applyFill="1" applyBorder="1" applyAlignment="1">
      <alignment horizontal="center" vertical="center" wrapText="1"/>
    </xf>
    <xf numFmtId="5" fontId="5" fillId="0" borderId="33" xfId="0" applyNumberFormat="1" applyFont="1" applyFill="1" applyBorder="1" applyAlignment="1">
      <alignment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5" fontId="6" fillId="0" borderId="29" xfId="1" applyNumberFormat="1" applyFont="1" applyFill="1" applyBorder="1" applyAlignment="1">
      <alignment horizontal="center" vertical="center"/>
    </xf>
    <xf numFmtId="5" fontId="5" fillId="0" borderId="32" xfId="0" applyNumberFormat="1" applyFont="1" applyFill="1" applyBorder="1" applyAlignment="1">
      <alignment horizontal="centerContinuous" vertical="center" wrapText="1"/>
    </xf>
    <xf numFmtId="5" fontId="5" fillId="3" borderId="28" xfId="0" applyNumberFormat="1" applyFont="1" applyFill="1" applyBorder="1" applyAlignment="1">
      <alignment horizontal="centerContinuous" vertical="center" wrapText="1"/>
    </xf>
    <xf numFmtId="5" fontId="5" fillId="3" borderId="32" xfId="0" applyNumberFormat="1" applyFont="1" applyFill="1" applyBorder="1" applyAlignment="1">
      <alignment horizontal="centerContinuous" vertical="center" wrapText="1"/>
    </xf>
    <xf numFmtId="5" fontId="5" fillId="0" borderId="28" xfId="0" applyNumberFormat="1" applyFont="1" applyFill="1" applyBorder="1" applyAlignment="1">
      <alignment vertical="center"/>
    </xf>
    <xf numFmtId="5" fontId="5" fillId="0" borderId="32" xfId="0" applyNumberFormat="1" applyFont="1" applyFill="1" applyBorder="1" applyAlignment="1">
      <alignment vertical="center"/>
    </xf>
    <xf numFmtId="5" fontId="5" fillId="0" borderId="29" xfId="0" applyNumberFormat="1" applyFont="1" applyFill="1" applyBorder="1" applyAlignment="1">
      <alignment vertical="center"/>
    </xf>
    <xf numFmtId="5" fontId="5" fillId="3" borderId="32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horizontal="center" vertical="center" wrapText="1"/>
    </xf>
    <xf numFmtId="5" fontId="5" fillId="3" borderId="29" xfId="0" applyNumberFormat="1" applyFont="1" applyFill="1" applyBorder="1" applyAlignment="1">
      <alignment vertical="center" wrapText="1"/>
    </xf>
    <xf numFmtId="5" fontId="6" fillId="0" borderId="32" xfId="1" applyNumberFormat="1" applyFont="1" applyFill="1" applyBorder="1" applyAlignment="1">
      <alignment horizontal="center" vertical="center" wrapText="1"/>
    </xf>
    <xf numFmtId="5" fontId="5" fillId="3" borderId="28" xfId="0" applyNumberFormat="1" applyFont="1" applyFill="1" applyBorder="1" applyAlignment="1">
      <alignment vertical="center"/>
    </xf>
    <xf numFmtId="5" fontId="5" fillId="3" borderId="32" xfId="0" applyNumberFormat="1" applyFont="1" applyFill="1" applyBorder="1" applyAlignment="1">
      <alignment horizontal="center" vertical="center"/>
    </xf>
    <xf numFmtId="5" fontId="5" fillId="0" borderId="28" xfId="0" applyNumberFormat="1" applyFont="1" applyFill="1" applyBorder="1" applyAlignment="1">
      <alignment horizontal="center" vertical="center"/>
    </xf>
    <xf numFmtId="5" fontId="5" fillId="0" borderId="32" xfId="0" applyNumberFormat="1" applyFont="1" applyFill="1" applyBorder="1" applyAlignment="1">
      <alignment horizontal="center" vertical="center"/>
    </xf>
    <xf numFmtId="5" fontId="5" fillId="0" borderId="29" xfId="0" applyNumberFormat="1" applyFont="1" applyFill="1" applyBorder="1" applyAlignment="1">
      <alignment horizontal="center" vertical="center"/>
    </xf>
    <xf numFmtId="165" fontId="6" fillId="0" borderId="18" xfId="1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5" fontId="6" fillId="0" borderId="22" xfId="1" applyNumberFormat="1" applyFont="1" applyFill="1" applyBorder="1" applyAlignment="1">
      <alignment horizontal="center" vertical="center" wrapText="1"/>
    </xf>
    <xf numFmtId="5" fontId="5" fillId="3" borderId="8" xfId="0" applyNumberFormat="1" applyFont="1" applyFill="1" applyBorder="1" applyAlignment="1">
      <alignment vertical="center" wrapText="1"/>
    </xf>
    <xf numFmtId="5" fontId="5" fillId="3" borderId="10" xfId="0" applyNumberFormat="1" applyFont="1" applyFill="1" applyBorder="1" applyAlignment="1">
      <alignment vertical="center" wrapText="1"/>
    </xf>
    <xf numFmtId="5" fontId="5" fillId="0" borderId="8" xfId="0" applyNumberFormat="1" applyFont="1" applyFill="1" applyBorder="1" applyAlignment="1">
      <alignment vertical="center" wrapText="1"/>
    </xf>
    <xf numFmtId="5" fontId="5" fillId="0" borderId="10" xfId="0" applyNumberFormat="1" applyFont="1" applyFill="1" applyBorder="1" applyAlignment="1">
      <alignment vertical="center" wrapText="1"/>
    </xf>
    <xf numFmtId="5" fontId="5" fillId="0" borderId="2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/>
    <xf numFmtId="0" fontId="6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6" fontId="6" fillId="0" borderId="0" xfId="1" applyNumberFormat="1" applyFont="1" applyFill="1" applyAlignment="1">
      <alignment horizontal="center" vertical="center" wrapText="1"/>
    </xf>
    <xf numFmtId="5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5" fontId="5" fillId="7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5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/>
    <xf numFmtId="166" fontId="6" fillId="0" borderId="0" xfId="1" applyNumberFormat="1" applyFont="1" applyFill="1" applyAlignment="1">
      <alignment horizontal="left" vertical="center"/>
    </xf>
    <xf numFmtId="43" fontId="6" fillId="0" borderId="0" xfId="1" applyFont="1" applyFill="1" applyAlignment="1">
      <alignment horizontal="left" vertical="center"/>
    </xf>
    <xf numFmtId="10" fontId="6" fillId="0" borderId="0" xfId="3" applyNumberFormat="1" applyFont="1" applyFill="1" applyAlignment="1">
      <alignment horizontal="left" vertical="center"/>
    </xf>
    <xf numFmtId="5" fontId="5" fillId="0" borderId="0" xfId="0" applyNumberFormat="1" applyFont="1" applyFill="1" applyBorder="1" applyAlignment="1">
      <alignment horizontal="center" vertical="center" wrapText="1"/>
    </xf>
    <xf numFmtId="5" fontId="5" fillId="6" borderId="18" xfId="0" applyNumberFormat="1" applyFont="1" applyFill="1" applyBorder="1" applyAlignment="1">
      <alignment horizontal="center" vertical="center" wrapText="1"/>
    </xf>
    <xf numFmtId="5" fontId="5" fillId="8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5" fontId="8" fillId="0" borderId="0" xfId="0" applyNumberFormat="1" applyFont="1"/>
    <xf numFmtId="0" fontId="6" fillId="0" borderId="0" xfId="0" applyFont="1" applyFill="1" applyAlignment="1">
      <alignment horizontal="center" wrapText="1"/>
    </xf>
    <xf numFmtId="5" fontId="6" fillId="0" borderId="0" xfId="0" applyNumberFormat="1" applyFont="1" applyFill="1" applyAlignment="1"/>
    <xf numFmtId="5" fontId="6" fillId="0" borderId="0" xfId="2" applyNumberFormat="1" applyFont="1" applyFill="1" applyAlignment="1">
      <alignment horizontal="right" vertical="center"/>
    </xf>
    <xf numFmtId="164" fontId="6" fillId="0" borderId="0" xfId="2" applyNumberFormat="1" applyFont="1" applyFill="1" applyAlignment="1">
      <alignment horizontal="left" vertical="center" wrapText="1"/>
    </xf>
    <xf numFmtId="167" fontId="6" fillId="0" borderId="0" xfId="3" applyNumberFormat="1" applyFont="1" applyFill="1" applyAlignment="1">
      <alignment horizontal="center" vertical="center" wrapText="1"/>
    </xf>
    <xf numFmtId="164" fontId="6" fillId="0" borderId="0" xfId="2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5" fontId="14" fillId="3" borderId="25" xfId="0" applyNumberFormat="1" applyFont="1" applyFill="1" applyBorder="1" applyAlignment="1">
      <alignment vertical="center" wrapText="1"/>
    </xf>
    <xf numFmtId="5" fontId="14" fillId="3" borderId="32" xfId="0" applyNumberFormat="1" applyFont="1" applyFill="1" applyBorder="1" applyAlignment="1">
      <alignment vertical="center" wrapText="1"/>
    </xf>
    <xf numFmtId="164" fontId="14" fillId="0" borderId="4" xfId="2" applyNumberFormat="1" applyFont="1" applyFill="1" applyBorder="1" applyAlignment="1">
      <alignment horizontal="center" wrapText="1"/>
    </xf>
    <xf numFmtId="5" fontId="6" fillId="4" borderId="34" xfId="0" applyNumberFormat="1" applyFont="1" applyFill="1" applyBorder="1" applyAlignment="1">
      <alignment horizontal="right" vertical="center" wrapText="1"/>
    </xf>
    <xf numFmtId="5" fontId="6" fillId="4" borderId="35" xfId="0" applyNumberFormat="1" applyFont="1" applyFill="1" applyBorder="1" applyAlignment="1">
      <alignment horizontal="right" vertical="center" wrapText="1"/>
    </xf>
    <xf numFmtId="5" fontId="6" fillId="0" borderId="34" xfId="0" applyNumberFormat="1" applyFont="1" applyFill="1" applyBorder="1" applyAlignment="1">
      <alignment vertical="center" wrapText="1"/>
    </xf>
    <xf numFmtId="5" fontId="6" fillId="0" borderId="36" xfId="0" applyNumberFormat="1" applyFont="1" applyFill="1" applyBorder="1" applyAlignment="1">
      <alignment vertical="center" wrapText="1"/>
    </xf>
    <xf numFmtId="164" fontId="6" fillId="0" borderId="37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center" wrapText="1"/>
    </xf>
  </cellXfs>
  <cellStyles count="9">
    <cellStyle name="Comma" xfId="1" builtinId="3"/>
    <cellStyle name="Currency" xfId="2" builtinId="4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5" zoomScaleNormal="40" zoomScaleSheetLayoutView="85" workbookViewId="0">
      <pane xSplit="9" ySplit="6" topLeftCell="J7" activePane="bottomRight" state="frozen"/>
      <selection activeCell="G8" sqref="G8"/>
      <selection pane="topRight" activeCell="G8" sqref="G8"/>
      <selection pane="bottomLeft" activeCell="G8" sqref="G8"/>
      <selection pane="bottomRight" activeCell="V15" sqref="V15"/>
    </sheetView>
  </sheetViews>
  <sheetFormatPr defaultColWidth="25.7109375" defaultRowHeight="11.25"/>
  <cols>
    <col min="1" max="1" width="1.85546875" style="17" customWidth="1"/>
    <col min="2" max="2" width="5" style="17" hidden="1" customWidth="1"/>
    <col min="3" max="3" width="5" style="17" customWidth="1"/>
    <col min="4" max="4" width="5.42578125" style="161" bestFit="1" customWidth="1"/>
    <col min="5" max="5" width="7" style="161" customWidth="1"/>
    <col min="6" max="6" width="9.42578125" style="161" customWidth="1"/>
    <col min="7" max="7" width="12.140625" style="161" customWidth="1"/>
    <col min="8" max="8" width="9.28515625" style="162" customWidth="1"/>
    <col min="9" max="9" width="21.42578125" style="163" customWidth="1"/>
    <col min="10" max="10" width="8.28515625" style="163" customWidth="1"/>
    <col min="11" max="11" width="8.42578125" style="161" customWidth="1"/>
    <col min="12" max="12" width="9.140625" style="161" customWidth="1"/>
    <col min="13" max="14" width="13.85546875" style="161" hidden="1" customWidth="1"/>
    <col min="15" max="15" width="16.42578125" style="161" hidden="1" customWidth="1"/>
    <col min="16" max="16" width="17.7109375" style="161" hidden="1" customWidth="1"/>
    <col min="17" max="17" width="12.42578125" style="161" hidden="1" customWidth="1"/>
    <col min="18" max="18" width="15.85546875" style="161" hidden="1" customWidth="1"/>
    <col min="19" max="19" width="7.140625" style="17" customWidth="1"/>
    <col min="20" max="20" width="7.7109375" style="17" customWidth="1"/>
    <col min="21" max="21" width="7.28515625" style="17" customWidth="1"/>
    <col min="22" max="22" width="7.5703125" style="17" customWidth="1"/>
    <col min="23" max="23" width="7.28515625" style="17" customWidth="1"/>
    <col min="24" max="24" width="7.42578125" style="17" customWidth="1"/>
    <col min="25" max="26" width="7.85546875" style="17" customWidth="1"/>
    <col min="27" max="27" width="7.7109375" style="17" customWidth="1"/>
    <col min="28" max="28" width="7" style="17" customWidth="1"/>
    <col min="29" max="29" width="8.85546875" style="17" customWidth="1"/>
    <col min="30" max="16384" width="25.7109375" style="17"/>
  </cols>
  <sheetData>
    <row r="1" spans="1:29" ht="12" thickBot="1">
      <c r="D1" s="188" t="s">
        <v>246</v>
      </c>
      <c r="E1" s="188"/>
      <c r="F1" s="188"/>
      <c r="G1" s="188"/>
      <c r="H1" s="188"/>
      <c r="I1" s="188"/>
      <c r="J1" s="19"/>
      <c r="K1" s="21"/>
      <c r="L1" s="21"/>
      <c r="M1" s="21"/>
      <c r="N1" s="21"/>
      <c r="O1" s="21"/>
      <c r="P1" s="21"/>
      <c r="Q1" s="21"/>
      <c r="R1" s="21"/>
      <c r="S1" s="22" t="s">
        <v>247</v>
      </c>
      <c r="T1" s="23"/>
      <c r="U1" s="23"/>
      <c r="V1" s="23"/>
      <c r="W1" s="23"/>
      <c r="X1" s="23"/>
      <c r="Y1" s="23"/>
      <c r="Z1" s="23"/>
      <c r="AA1" s="23"/>
      <c r="AB1" s="23"/>
      <c r="AC1" s="18"/>
    </row>
    <row r="2" spans="1:29" ht="12" thickBot="1">
      <c r="D2" s="22"/>
      <c r="E2" s="19"/>
      <c r="F2" s="19"/>
      <c r="G2" s="19"/>
      <c r="H2" s="20"/>
      <c r="I2" s="19"/>
      <c r="J2" s="19"/>
      <c r="K2" s="21"/>
      <c r="L2" s="21"/>
      <c r="M2" s="21"/>
      <c r="N2" s="21"/>
      <c r="O2" s="21"/>
      <c r="P2" s="21"/>
      <c r="Q2" s="21"/>
      <c r="R2" s="21"/>
      <c r="S2" s="24">
        <f>SUM(S7:T56)</f>
        <v>25899.5</v>
      </c>
      <c r="T2" s="25"/>
      <c r="U2" s="24">
        <f>SUM(U7:V56)</f>
        <v>35901.5</v>
      </c>
      <c r="V2" s="25"/>
      <c r="W2" s="24">
        <f>SUM(W7:X56)</f>
        <v>35899.872000000003</v>
      </c>
      <c r="X2" s="25"/>
      <c r="Y2" s="24">
        <f>SUM(Y7:Z56)</f>
        <v>57699.75</v>
      </c>
      <c r="Z2" s="25"/>
      <c r="AA2" s="24">
        <f>SUM(AA7:AB56)</f>
        <v>18699</v>
      </c>
      <c r="AB2" s="26"/>
      <c r="AC2" s="191">
        <f>SUM(S2:AB2)</f>
        <v>174099.622</v>
      </c>
    </row>
    <row r="3" spans="1:29">
      <c r="D3" s="27" t="s">
        <v>248</v>
      </c>
      <c r="E3" s="27"/>
      <c r="F3" s="27"/>
      <c r="G3" s="27"/>
      <c r="H3" s="20"/>
      <c r="I3" s="27"/>
      <c r="J3" s="27"/>
      <c r="K3" s="28"/>
      <c r="L3" s="28"/>
      <c r="M3" s="28"/>
      <c r="N3" s="28"/>
      <c r="O3" s="28"/>
      <c r="P3" s="28"/>
      <c r="Q3" s="28"/>
      <c r="R3" s="28"/>
      <c r="S3" s="29">
        <v>25900</v>
      </c>
      <c r="T3" s="30"/>
      <c r="U3" s="31">
        <v>35900</v>
      </c>
      <c r="V3" s="30"/>
      <c r="W3" s="31">
        <v>35900</v>
      </c>
      <c r="X3" s="30"/>
      <c r="Y3" s="31">
        <v>57700</v>
      </c>
      <c r="Z3" s="30"/>
      <c r="AA3" s="31">
        <v>18700</v>
      </c>
      <c r="AB3" s="32"/>
      <c r="AC3" s="191">
        <f>SUM(S3:AB3)</f>
        <v>174100</v>
      </c>
    </row>
    <row r="4" spans="1:29" ht="12" thickBot="1">
      <c r="D4" s="27"/>
      <c r="E4" s="27"/>
      <c r="F4" s="27"/>
      <c r="G4" s="27"/>
      <c r="H4" s="20"/>
      <c r="I4" s="27"/>
      <c r="J4" s="27"/>
      <c r="K4" s="28"/>
      <c r="L4" s="28"/>
      <c r="M4" s="28"/>
      <c r="N4" s="28"/>
      <c r="O4" s="28"/>
      <c r="P4" s="28"/>
      <c r="Q4" s="28"/>
      <c r="R4" s="28"/>
      <c r="S4" s="33">
        <f>S3-S2</f>
        <v>0.5</v>
      </c>
      <c r="T4" s="34"/>
      <c r="U4" s="35">
        <f>U3-U2</f>
        <v>-1.5</v>
      </c>
      <c r="V4" s="34"/>
      <c r="W4" s="35">
        <f>W3-W2</f>
        <v>0.1279999999969732</v>
      </c>
      <c r="X4" s="34"/>
      <c r="Y4" s="35">
        <f>Y3-Y2</f>
        <v>0.25</v>
      </c>
      <c r="Z4" s="34"/>
      <c r="AA4" s="35">
        <f>AA3-AA2</f>
        <v>1</v>
      </c>
      <c r="AB4" s="36"/>
      <c r="AC4" s="37"/>
    </row>
    <row r="5" spans="1:29" ht="16.5" customHeight="1">
      <c r="D5" s="38" t="s">
        <v>0</v>
      </c>
      <c r="E5" s="39"/>
      <c r="F5" s="40" t="s">
        <v>1</v>
      </c>
      <c r="G5" s="41"/>
      <c r="H5" s="42"/>
      <c r="I5" s="43" t="s">
        <v>2</v>
      </c>
      <c r="J5" s="44"/>
      <c r="K5" s="40" t="s">
        <v>3</v>
      </c>
      <c r="L5" s="41"/>
      <c r="M5" s="41"/>
      <c r="N5" s="41"/>
      <c r="O5" s="41"/>
      <c r="P5" s="41"/>
      <c r="Q5" s="41"/>
      <c r="R5" s="45"/>
      <c r="S5" s="3" t="s">
        <v>5</v>
      </c>
      <c r="T5" s="4"/>
      <c r="U5" s="3" t="s">
        <v>6</v>
      </c>
      <c r="V5" s="4"/>
      <c r="W5" s="3" t="s">
        <v>7</v>
      </c>
      <c r="X5" s="4"/>
      <c r="Y5" s="3" t="s">
        <v>8</v>
      </c>
      <c r="Z5" s="4"/>
      <c r="AA5" s="3" t="s">
        <v>9</v>
      </c>
      <c r="AB5" s="4"/>
      <c r="AC5" s="46" t="s">
        <v>10</v>
      </c>
    </row>
    <row r="6" spans="1:29" s="47" customFormat="1" ht="57.75" customHeight="1" thickBot="1">
      <c r="B6" s="48" t="s">
        <v>11</v>
      </c>
      <c r="C6" s="48"/>
      <c r="D6" s="49" t="s">
        <v>12</v>
      </c>
      <c r="E6" s="50" t="s">
        <v>13</v>
      </c>
      <c r="F6" s="50" t="s">
        <v>14</v>
      </c>
      <c r="G6" s="50" t="s">
        <v>15</v>
      </c>
      <c r="H6" s="50" t="s">
        <v>16</v>
      </c>
      <c r="I6" s="51"/>
      <c r="J6" s="52" t="s">
        <v>4</v>
      </c>
      <c r="K6" s="50" t="s">
        <v>17</v>
      </c>
      <c r="L6" s="50" t="s">
        <v>18</v>
      </c>
      <c r="M6" s="50" t="s">
        <v>19</v>
      </c>
      <c r="N6" s="50" t="s">
        <v>20</v>
      </c>
      <c r="O6" s="50" t="s">
        <v>21</v>
      </c>
      <c r="P6" s="50" t="s">
        <v>22</v>
      </c>
      <c r="Q6" s="50" t="s">
        <v>23</v>
      </c>
      <c r="R6" s="53" t="s">
        <v>24</v>
      </c>
      <c r="S6" s="54" t="s">
        <v>249</v>
      </c>
      <c r="T6" s="55" t="s">
        <v>25</v>
      </c>
      <c r="U6" s="54" t="s">
        <v>249</v>
      </c>
      <c r="V6" s="55" t="s">
        <v>25</v>
      </c>
      <c r="W6" s="54" t="s">
        <v>249</v>
      </c>
      <c r="X6" s="55" t="s">
        <v>25</v>
      </c>
      <c r="Y6" s="54" t="s">
        <v>249</v>
      </c>
      <c r="Z6" s="55" t="s">
        <v>25</v>
      </c>
      <c r="AA6" s="54" t="s">
        <v>249</v>
      </c>
      <c r="AB6" s="55" t="s">
        <v>25</v>
      </c>
      <c r="AC6" s="197"/>
    </row>
    <row r="7" spans="1:29" s="47" customFormat="1" ht="19.5" customHeight="1">
      <c r="B7" s="48"/>
      <c r="C7" s="48"/>
      <c r="D7" s="56"/>
      <c r="E7" s="57" t="s">
        <v>26</v>
      </c>
      <c r="F7" s="58"/>
      <c r="G7" s="58"/>
      <c r="H7" s="58"/>
      <c r="I7" s="59" t="s">
        <v>245</v>
      </c>
      <c r="J7" s="60"/>
      <c r="K7" s="60"/>
      <c r="L7" s="60"/>
      <c r="M7" s="60"/>
      <c r="N7" s="60"/>
      <c r="O7" s="61"/>
      <c r="P7" s="60"/>
      <c r="Q7" s="61"/>
      <c r="R7" s="62"/>
      <c r="S7" s="63">
        <v>5000</v>
      </c>
      <c r="T7" s="64"/>
      <c r="U7" s="63"/>
      <c r="V7" s="64"/>
      <c r="W7" s="63"/>
      <c r="X7" s="64"/>
      <c r="Y7" s="63"/>
      <c r="Z7" s="64"/>
      <c r="AA7" s="63"/>
      <c r="AB7" s="64"/>
      <c r="AC7" s="65">
        <f>SUM(S7:AB7)</f>
        <v>5000</v>
      </c>
    </row>
    <row r="8" spans="1:29" s="47" customFormat="1" ht="24" customHeight="1">
      <c r="B8" s="48"/>
      <c r="C8" s="48"/>
      <c r="D8" s="66"/>
      <c r="E8" s="67" t="s">
        <v>26</v>
      </c>
      <c r="F8" s="68"/>
      <c r="G8" s="68"/>
      <c r="H8" s="68"/>
      <c r="I8" s="69" t="s">
        <v>27</v>
      </c>
      <c r="J8" s="70"/>
      <c r="K8" s="70"/>
      <c r="L8" s="70"/>
      <c r="M8" s="70"/>
      <c r="N8" s="70"/>
      <c r="O8" s="71"/>
      <c r="P8" s="70"/>
      <c r="Q8" s="71"/>
      <c r="R8" s="72"/>
      <c r="S8" s="63">
        <v>474</v>
      </c>
      <c r="T8" s="64"/>
      <c r="U8" s="63">
        <v>800</v>
      </c>
      <c r="V8" s="64"/>
      <c r="W8" s="63"/>
      <c r="X8" s="64"/>
      <c r="Y8" s="63">
        <v>750</v>
      </c>
      <c r="Z8" s="64"/>
      <c r="AA8" s="63">
        <v>2353</v>
      </c>
      <c r="AB8" s="73"/>
      <c r="AC8" s="192"/>
    </row>
    <row r="9" spans="1:29" s="47" customFormat="1" ht="25.5" customHeight="1">
      <c r="B9" s="48"/>
      <c r="C9" s="48"/>
      <c r="D9" s="66"/>
      <c r="E9" s="67" t="s">
        <v>28</v>
      </c>
      <c r="F9" s="68"/>
      <c r="G9" s="68"/>
      <c r="H9" s="68"/>
      <c r="I9" s="69" t="s">
        <v>243</v>
      </c>
      <c r="J9" s="70"/>
      <c r="K9" s="70"/>
      <c r="L9" s="70"/>
      <c r="M9" s="70"/>
      <c r="N9" s="70"/>
      <c r="O9" s="71"/>
      <c r="P9" s="70"/>
      <c r="Q9" s="71"/>
      <c r="R9" s="72"/>
      <c r="S9" s="75"/>
      <c r="T9" s="64"/>
      <c r="U9" s="75"/>
      <c r="V9" s="64"/>
      <c r="W9" s="75">
        <v>192</v>
      </c>
      <c r="X9" s="64"/>
      <c r="Y9" s="75">
        <v>830</v>
      </c>
      <c r="Z9" s="64"/>
      <c r="AA9" s="75">
        <v>800</v>
      </c>
      <c r="AB9" s="73"/>
      <c r="AC9" s="193"/>
    </row>
    <row r="10" spans="1:29" s="47" customFormat="1" ht="27" customHeight="1">
      <c r="B10" s="48"/>
      <c r="C10" s="48"/>
      <c r="D10" s="66"/>
      <c r="E10" s="67" t="s">
        <v>28</v>
      </c>
      <c r="F10" s="68"/>
      <c r="G10" s="68"/>
      <c r="H10" s="68"/>
      <c r="I10" s="69" t="s">
        <v>244</v>
      </c>
      <c r="J10" s="70"/>
      <c r="K10" s="70"/>
      <c r="L10" s="70"/>
      <c r="M10" s="70"/>
      <c r="N10" s="70"/>
      <c r="O10" s="71"/>
      <c r="P10" s="70"/>
      <c r="Q10" s="71"/>
      <c r="R10" s="72"/>
      <c r="S10" s="75"/>
      <c r="T10" s="64"/>
      <c r="U10" s="75"/>
      <c r="V10" s="64"/>
      <c r="W10" s="75">
        <v>138</v>
      </c>
      <c r="X10" s="64"/>
      <c r="Y10" s="75">
        <v>142</v>
      </c>
      <c r="Z10" s="64"/>
      <c r="AA10" s="75">
        <v>146</v>
      </c>
      <c r="AB10" s="73"/>
      <c r="AC10" s="193"/>
    </row>
    <row r="11" spans="1:29" s="47" customFormat="1" ht="30" customHeight="1">
      <c r="B11" s="48"/>
      <c r="C11" s="48"/>
      <c r="D11" s="66"/>
      <c r="E11" s="67" t="s">
        <v>230</v>
      </c>
      <c r="F11" s="68"/>
      <c r="G11" s="68"/>
      <c r="H11" s="68"/>
      <c r="I11" s="69" t="s">
        <v>231</v>
      </c>
      <c r="J11" s="70"/>
      <c r="K11" s="70"/>
      <c r="L11" s="70"/>
      <c r="M11" s="70"/>
      <c r="N11" s="70"/>
      <c r="O11" s="71"/>
      <c r="P11" s="70"/>
      <c r="Q11" s="71"/>
      <c r="R11" s="72"/>
      <c r="S11" s="75"/>
      <c r="T11" s="64"/>
      <c r="U11" s="75"/>
      <c r="V11" s="64"/>
      <c r="W11" s="75"/>
      <c r="X11" s="64"/>
      <c r="Y11" s="75">
        <v>5300</v>
      </c>
      <c r="Z11" s="64"/>
      <c r="AA11" s="189">
        <v>12900</v>
      </c>
      <c r="AB11" s="73"/>
      <c r="AC11" s="193"/>
    </row>
    <row r="12" spans="1:29" s="47" customFormat="1" ht="45">
      <c r="B12" s="48"/>
      <c r="C12" s="48"/>
      <c r="D12" s="76" t="s">
        <v>232</v>
      </c>
      <c r="E12" s="77" t="s">
        <v>233</v>
      </c>
      <c r="F12" s="78" t="s">
        <v>234</v>
      </c>
      <c r="G12" s="78" t="s">
        <v>235</v>
      </c>
      <c r="H12" s="79" t="s">
        <v>96</v>
      </c>
      <c r="I12" s="79" t="s">
        <v>242</v>
      </c>
      <c r="J12" s="79" t="s">
        <v>59</v>
      </c>
      <c r="K12" s="79" t="s">
        <v>82</v>
      </c>
      <c r="L12" s="79" t="s">
        <v>40</v>
      </c>
      <c r="M12" s="80" t="s">
        <v>47</v>
      </c>
      <c r="N12" s="70"/>
      <c r="O12" s="71"/>
      <c r="P12" s="70"/>
      <c r="Q12" s="71"/>
      <c r="R12" s="72"/>
      <c r="S12" s="75">
        <v>150</v>
      </c>
      <c r="T12" s="64"/>
      <c r="U12" s="81"/>
      <c r="V12" s="82"/>
      <c r="W12" s="81"/>
      <c r="X12" s="82"/>
      <c r="Y12" s="81"/>
      <c r="Z12" s="82"/>
      <c r="AA12" s="81"/>
      <c r="AB12" s="82"/>
      <c r="AC12" s="74"/>
    </row>
    <row r="13" spans="1:29" s="47" customFormat="1" ht="40.5" customHeight="1">
      <c r="B13" s="48"/>
      <c r="C13" s="48"/>
      <c r="D13" s="76" t="s">
        <v>236</v>
      </c>
      <c r="E13" s="78" t="s">
        <v>251</v>
      </c>
      <c r="F13" s="78" t="s">
        <v>179</v>
      </c>
      <c r="G13" s="78" t="s">
        <v>237</v>
      </c>
      <c r="H13" s="79" t="s">
        <v>50</v>
      </c>
      <c r="I13" s="79" t="s">
        <v>238</v>
      </c>
      <c r="J13" s="79" t="s">
        <v>59</v>
      </c>
      <c r="K13" s="79" t="s">
        <v>82</v>
      </c>
      <c r="L13" s="79" t="s">
        <v>40</v>
      </c>
      <c r="M13" s="80" t="s">
        <v>47</v>
      </c>
      <c r="N13" s="70"/>
      <c r="O13" s="71"/>
      <c r="P13" s="70"/>
      <c r="Q13" s="71"/>
      <c r="R13" s="72"/>
      <c r="S13" s="75">
        <v>1700</v>
      </c>
      <c r="T13" s="64"/>
      <c r="U13" s="81"/>
      <c r="V13" s="83"/>
      <c r="W13" s="81"/>
      <c r="X13" s="83"/>
      <c r="Y13" s="81"/>
      <c r="Z13" s="83"/>
      <c r="AA13" s="81"/>
      <c r="AB13" s="83"/>
      <c r="AC13" s="74"/>
    </row>
    <row r="14" spans="1:29" s="47" customFormat="1" ht="35.25" customHeight="1">
      <c r="B14" s="48"/>
      <c r="C14" s="48"/>
      <c r="D14" s="76" t="s">
        <v>236</v>
      </c>
      <c r="E14" s="78" t="s">
        <v>251</v>
      </c>
      <c r="F14" s="78" t="s">
        <v>179</v>
      </c>
      <c r="G14" s="78" t="s">
        <v>237</v>
      </c>
      <c r="H14" s="79" t="s">
        <v>50</v>
      </c>
      <c r="I14" s="79" t="s">
        <v>238</v>
      </c>
      <c r="J14" s="79" t="s">
        <v>59</v>
      </c>
      <c r="K14" s="79" t="s">
        <v>50</v>
      </c>
      <c r="L14" s="79" t="s">
        <v>40</v>
      </c>
      <c r="M14" s="80" t="s">
        <v>47</v>
      </c>
      <c r="N14" s="70"/>
      <c r="O14" s="71"/>
      <c r="P14" s="70"/>
      <c r="Q14" s="71"/>
      <c r="R14" s="72"/>
      <c r="S14" s="75">
        <v>300</v>
      </c>
      <c r="T14" s="64"/>
      <c r="U14" s="81"/>
      <c r="V14" s="83"/>
      <c r="W14" s="81"/>
      <c r="X14" s="83"/>
      <c r="Y14" s="81"/>
      <c r="Z14" s="83"/>
      <c r="AA14" s="81"/>
      <c r="AB14" s="83"/>
      <c r="AC14" s="74"/>
    </row>
    <row r="15" spans="1:29" s="47" customFormat="1" ht="42" customHeight="1">
      <c r="B15" s="48"/>
      <c r="C15" s="48"/>
      <c r="D15" s="76" t="s">
        <v>239</v>
      </c>
      <c r="E15" s="79" t="s">
        <v>250</v>
      </c>
      <c r="F15" s="78" t="s">
        <v>179</v>
      </c>
      <c r="G15" s="78" t="s">
        <v>240</v>
      </c>
      <c r="H15" s="79" t="s">
        <v>96</v>
      </c>
      <c r="I15" s="79" t="s">
        <v>241</v>
      </c>
      <c r="J15" s="79" t="s">
        <v>59</v>
      </c>
      <c r="K15" s="79" t="s">
        <v>82</v>
      </c>
      <c r="L15" s="79" t="s">
        <v>40</v>
      </c>
      <c r="M15" s="80" t="s">
        <v>47</v>
      </c>
      <c r="N15" s="70"/>
      <c r="O15" s="71"/>
      <c r="P15" s="70"/>
      <c r="Q15" s="71"/>
      <c r="R15" s="72"/>
      <c r="S15" s="75">
        <v>1000</v>
      </c>
      <c r="T15" s="64"/>
      <c r="U15" s="81"/>
      <c r="V15" s="82"/>
      <c r="W15" s="81"/>
      <c r="X15" s="82"/>
      <c r="Y15" s="81"/>
      <c r="Z15" s="82"/>
      <c r="AA15" s="81"/>
      <c r="AB15" s="82"/>
      <c r="AC15" s="74"/>
    </row>
    <row r="16" spans="1:29" s="92" customFormat="1" ht="42.75" customHeight="1">
      <c r="A16" s="84"/>
      <c r="B16" s="85"/>
      <c r="C16" s="48"/>
      <c r="D16" s="76" t="s">
        <v>29</v>
      </c>
      <c r="E16" s="79"/>
      <c r="F16" s="79" t="s">
        <v>30</v>
      </c>
      <c r="G16" s="79" t="s">
        <v>31</v>
      </c>
      <c r="H16" s="79"/>
      <c r="I16" s="79" t="s">
        <v>32</v>
      </c>
      <c r="J16" s="86"/>
      <c r="K16" s="87"/>
      <c r="L16" s="87"/>
      <c r="M16" s="87"/>
      <c r="N16" s="87"/>
      <c r="O16" s="88"/>
      <c r="P16" s="89"/>
      <c r="Q16" s="90"/>
      <c r="R16" s="91"/>
      <c r="S16" s="93"/>
      <c r="T16" s="94"/>
      <c r="U16" s="94"/>
      <c r="V16" s="94"/>
      <c r="W16" s="94"/>
      <c r="X16" s="94"/>
      <c r="Y16" s="94"/>
      <c r="Z16" s="94"/>
      <c r="AA16" s="95"/>
      <c r="AB16" s="95"/>
      <c r="AC16" s="96">
        <f>SUM(S16:AB16)</f>
        <v>0</v>
      </c>
    </row>
    <row r="17" spans="1:29" s="92" customFormat="1" ht="43.5" customHeight="1">
      <c r="A17" s="84"/>
      <c r="B17" s="48">
        <v>102</v>
      </c>
      <c r="C17" s="97"/>
      <c r="D17" s="98" t="s">
        <v>34</v>
      </c>
      <c r="E17" s="79" t="s">
        <v>35</v>
      </c>
      <c r="F17" s="79" t="s">
        <v>36</v>
      </c>
      <c r="G17" s="79" t="s">
        <v>37</v>
      </c>
      <c r="H17" s="79" t="s">
        <v>38</v>
      </c>
      <c r="I17" s="79" t="s">
        <v>39</v>
      </c>
      <c r="J17" s="79" t="s">
        <v>33</v>
      </c>
      <c r="K17" s="79" t="s">
        <v>38</v>
      </c>
      <c r="L17" s="79" t="s">
        <v>40</v>
      </c>
      <c r="M17" s="99"/>
      <c r="N17" s="99"/>
      <c r="O17" s="100">
        <v>400000</v>
      </c>
      <c r="P17" s="79" t="s">
        <v>41</v>
      </c>
      <c r="Q17" s="100">
        <v>0</v>
      </c>
      <c r="R17" s="101">
        <f>O17</f>
        <v>400000</v>
      </c>
      <c r="S17" s="81"/>
      <c r="T17" s="82"/>
      <c r="U17" s="81"/>
      <c r="V17" s="82"/>
      <c r="W17" s="102"/>
      <c r="X17" s="103"/>
      <c r="Y17" s="104">
        <f>0.1*R17/1000</f>
        <v>40</v>
      </c>
      <c r="Z17" s="105">
        <f>R17/1000-Y17</f>
        <v>360</v>
      </c>
      <c r="AA17" s="81"/>
      <c r="AB17" s="106"/>
      <c r="AC17" s="194">
        <f>SUM(U17:AB17)</f>
        <v>400</v>
      </c>
    </row>
    <row r="18" spans="1:29" s="47" customFormat="1" ht="42.75" customHeight="1">
      <c r="A18" s="48"/>
      <c r="B18" s="48">
        <v>39</v>
      </c>
      <c r="C18" s="97"/>
      <c r="D18" s="98" t="s">
        <v>42</v>
      </c>
      <c r="E18" s="79" t="s">
        <v>35</v>
      </c>
      <c r="F18" s="79" t="s">
        <v>43</v>
      </c>
      <c r="G18" s="79" t="s">
        <v>44</v>
      </c>
      <c r="H18" s="79" t="s">
        <v>45</v>
      </c>
      <c r="I18" s="79" t="s">
        <v>46</v>
      </c>
      <c r="J18" s="79" t="s">
        <v>33</v>
      </c>
      <c r="K18" s="79" t="s">
        <v>45</v>
      </c>
      <c r="L18" s="79" t="s">
        <v>40</v>
      </c>
      <c r="M18" s="80" t="s">
        <v>47</v>
      </c>
      <c r="N18" s="80" t="s">
        <v>47</v>
      </c>
      <c r="O18" s="100">
        <v>240000</v>
      </c>
      <c r="P18" s="79" t="s">
        <v>41</v>
      </c>
      <c r="Q18" s="100">
        <v>0</v>
      </c>
      <c r="R18" s="101">
        <f>O18</f>
        <v>240000</v>
      </c>
      <c r="S18" s="104">
        <f>0.1*R18/1000</f>
        <v>24</v>
      </c>
      <c r="T18" s="105">
        <f>R18/1000-S18</f>
        <v>216</v>
      </c>
      <c r="U18" s="81"/>
      <c r="V18" s="83"/>
      <c r="W18" s="102"/>
      <c r="X18" s="103"/>
      <c r="Y18" s="102"/>
      <c r="Z18" s="103"/>
      <c r="AA18" s="81"/>
      <c r="AB18" s="106"/>
      <c r="AC18" s="194">
        <f>SUM(S18:AB18)</f>
        <v>240</v>
      </c>
    </row>
    <row r="19" spans="1:29" s="92" customFormat="1" ht="44.25" customHeight="1">
      <c r="A19" s="84"/>
      <c r="B19" s="48">
        <v>161</v>
      </c>
      <c r="C19" s="97"/>
      <c r="D19" s="107" t="s">
        <v>48</v>
      </c>
      <c r="E19" s="79" t="s">
        <v>35</v>
      </c>
      <c r="F19" s="79" t="s">
        <v>43</v>
      </c>
      <c r="G19" s="79" t="s">
        <v>49</v>
      </c>
      <c r="H19" s="79" t="s">
        <v>50</v>
      </c>
      <c r="I19" s="79" t="s">
        <v>39</v>
      </c>
      <c r="J19" s="79" t="s">
        <v>33</v>
      </c>
      <c r="K19" s="79" t="s">
        <v>50</v>
      </c>
      <c r="L19" s="79" t="s">
        <v>40</v>
      </c>
      <c r="M19" s="80" t="s">
        <v>47</v>
      </c>
      <c r="N19" s="80" t="s">
        <v>47</v>
      </c>
      <c r="O19" s="108">
        <v>1840000</v>
      </c>
      <c r="P19" s="79" t="s">
        <v>41</v>
      </c>
      <c r="Q19" s="100">
        <v>0</v>
      </c>
      <c r="R19" s="101">
        <f>O19</f>
        <v>1840000</v>
      </c>
      <c r="S19" s="104">
        <f>0.1*R19/1000</f>
        <v>184</v>
      </c>
      <c r="T19" s="105">
        <f>R19/1000-S19</f>
        <v>1656</v>
      </c>
      <c r="U19" s="81"/>
      <c r="V19" s="82"/>
      <c r="W19" s="102"/>
      <c r="X19" s="103"/>
      <c r="Y19" s="102"/>
      <c r="Z19" s="103"/>
      <c r="AA19" s="81"/>
      <c r="AB19" s="106"/>
      <c r="AC19" s="194">
        <f>SUM(S19:AB19)</f>
        <v>1840</v>
      </c>
    </row>
    <row r="20" spans="1:29" s="92" customFormat="1" ht="46.5" customHeight="1">
      <c r="A20" s="84"/>
      <c r="B20" s="85">
        <v>8</v>
      </c>
      <c r="C20" s="97"/>
      <c r="D20" s="98" t="s">
        <v>51</v>
      </c>
      <c r="E20" s="79" t="s">
        <v>35</v>
      </c>
      <c r="F20" s="79" t="s">
        <v>43</v>
      </c>
      <c r="G20" s="79" t="s">
        <v>52</v>
      </c>
      <c r="H20" s="79" t="s">
        <v>53</v>
      </c>
      <c r="I20" s="79" t="s">
        <v>54</v>
      </c>
      <c r="J20" s="79" t="s">
        <v>33</v>
      </c>
      <c r="K20" s="79" t="s">
        <v>53</v>
      </c>
      <c r="L20" s="79" t="s">
        <v>40</v>
      </c>
      <c r="M20" s="80" t="s">
        <v>47</v>
      </c>
      <c r="N20" s="80" t="s">
        <v>47</v>
      </c>
      <c r="O20" s="100">
        <v>1400000</v>
      </c>
      <c r="P20" s="79" t="s">
        <v>41</v>
      </c>
      <c r="Q20" s="100">
        <v>0</v>
      </c>
      <c r="R20" s="101">
        <f>O20</f>
        <v>1400000</v>
      </c>
      <c r="S20" s="104">
        <f>0.1*R20/1000</f>
        <v>140</v>
      </c>
      <c r="T20" s="105">
        <f>R20/1000-S20</f>
        <v>1260</v>
      </c>
      <c r="U20" s="81"/>
      <c r="V20" s="82"/>
      <c r="W20" s="102"/>
      <c r="X20" s="103"/>
      <c r="Y20" s="109"/>
      <c r="Z20" s="110"/>
      <c r="AA20" s="111"/>
      <c r="AB20" s="112"/>
      <c r="AC20" s="194">
        <f>SUM(S20:AB20)</f>
        <v>1400</v>
      </c>
    </row>
    <row r="21" spans="1:29" s="92" customFormat="1" ht="38.25" customHeight="1">
      <c r="A21" s="48"/>
      <c r="B21" s="48">
        <v>116</v>
      </c>
      <c r="C21" s="97"/>
      <c r="D21" s="76" t="s">
        <v>55</v>
      </c>
      <c r="E21" s="79" t="s">
        <v>35</v>
      </c>
      <c r="F21" s="79" t="s">
        <v>36</v>
      </c>
      <c r="G21" s="79" t="s">
        <v>56</v>
      </c>
      <c r="H21" s="79" t="s">
        <v>57</v>
      </c>
      <c r="I21" s="79" t="s">
        <v>58</v>
      </c>
      <c r="J21" s="79" t="s">
        <v>59</v>
      </c>
      <c r="K21" s="79" t="s">
        <v>57</v>
      </c>
      <c r="L21" s="79" t="s">
        <v>60</v>
      </c>
      <c r="M21" s="79"/>
      <c r="N21" s="79"/>
      <c r="O21" s="113">
        <f>Q21+R21</f>
        <v>19829645</v>
      </c>
      <c r="P21" s="114" t="s">
        <v>61</v>
      </c>
      <c r="Q21" s="113">
        <v>10729645</v>
      </c>
      <c r="R21" s="115">
        <v>9100000</v>
      </c>
      <c r="S21" s="81"/>
      <c r="T21" s="82"/>
      <c r="U21" s="104"/>
      <c r="V21" s="105">
        <f>X21</f>
        <v>4550</v>
      </c>
      <c r="W21" s="104"/>
      <c r="X21" s="105">
        <f>R21/1000/2</f>
        <v>4550</v>
      </c>
      <c r="Y21" s="81"/>
      <c r="Z21" s="82"/>
      <c r="AA21" s="81"/>
      <c r="AB21" s="106"/>
      <c r="AC21" s="194">
        <f>SUM(S21:AB21)</f>
        <v>9100</v>
      </c>
    </row>
    <row r="22" spans="1:29" s="92" customFormat="1" ht="43.5" customHeight="1">
      <c r="A22" s="84"/>
      <c r="B22" s="48">
        <v>1</v>
      </c>
      <c r="C22" s="97"/>
      <c r="D22" s="76" t="s">
        <v>62</v>
      </c>
      <c r="E22" s="116" t="s">
        <v>35</v>
      </c>
      <c r="F22" s="79" t="s">
        <v>63</v>
      </c>
      <c r="G22" s="79" t="s">
        <v>64</v>
      </c>
      <c r="H22" s="79" t="s">
        <v>65</v>
      </c>
      <c r="I22" s="117" t="s">
        <v>66</v>
      </c>
      <c r="J22" s="79" t="s">
        <v>67</v>
      </c>
      <c r="K22" s="79" t="s">
        <v>65</v>
      </c>
      <c r="L22" s="79" t="s">
        <v>68</v>
      </c>
      <c r="M22" s="118" t="s">
        <v>69</v>
      </c>
      <c r="N22" s="80" t="s">
        <v>47</v>
      </c>
      <c r="O22" s="100">
        <v>3500000</v>
      </c>
      <c r="P22" s="79" t="s">
        <v>70</v>
      </c>
      <c r="Q22" s="100">
        <v>1400000</v>
      </c>
      <c r="R22" s="101">
        <f>O22-Q22</f>
        <v>2100000</v>
      </c>
      <c r="S22" s="104"/>
      <c r="T22" s="105">
        <f>R22/1000</f>
        <v>2100</v>
      </c>
      <c r="U22" s="81"/>
      <c r="V22" s="82"/>
      <c r="W22" s="81"/>
      <c r="X22" s="82"/>
      <c r="Y22" s="81"/>
      <c r="Z22" s="82"/>
      <c r="AA22" s="81"/>
      <c r="AB22" s="106"/>
      <c r="AC22" s="194">
        <f>SUM(S22:AB22)</f>
        <v>2100</v>
      </c>
    </row>
    <row r="23" spans="1:29" s="92" customFormat="1" ht="35.25" customHeight="1">
      <c r="A23" s="84"/>
      <c r="B23" s="48">
        <v>107</v>
      </c>
      <c r="C23" s="97"/>
      <c r="D23" s="119" t="s">
        <v>71</v>
      </c>
      <c r="E23" s="79" t="s">
        <v>250</v>
      </c>
      <c r="F23" s="79" t="s">
        <v>36</v>
      </c>
      <c r="G23" s="79" t="s">
        <v>72</v>
      </c>
      <c r="H23" s="77" t="s">
        <v>57</v>
      </c>
      <c r="I23" s="78" t="s">
        <v>73</v>
      </c>
      <c r="J23" s="78" t="s">
        <v>67</v>
      </c>
      <c r="K23" s="78" t="s">
        <v>57</v>
      </c>
      <c r="L23" s="79" t="s">
        <v>74</v>
      </c>
      <c r="M23" s="118" t="s">
        <v>69</v>
      </c>
      <c r="N23" s="80" t="s">
        <v>47</v>
      </c>
      <c r="O23" s="120">
        <v>500000</v>
      </c>
      <c r="P23" s="78" t="s">
        <v>41</v>
      </c>
      <c r="Q23" s="121">
        <f>O23-R23</f>
        <v>265000</v>
      </c>
      <c r="R23" s="101">
        <v>235000</v>
      </c>
      <c r="S23" s="104"/>
      <c r="T23" s="105">
        <f>R23/1000</f>
        <v>235</v>
      </c>
      <c r="U23" s="81"/>
      <c r="V23" s="82"/>
      <c r="W23" s="81"/>
      <c r="X23" s="82"/>
      <c r="Y23" s="81"/>
      <c r="Z23" s="82"/>
      <c r="AA23" s="81"/>
      <c r="AB23" s="106"/>
      <c r="AC23" s="194">
        <f>SUM(S23:AB23)</f>
        <v>235</v>
      </c>
    </row>
    <row r="24" spans="1:29" s="92" customFormat="1" ht="106.5" customHeight="1">
      <c r="A24" s="84"/>
      <c r="B24" s="48">
        <v>63</v>
      </c>
      <c r="C24" s="48"/>
      <c r="D24" s="76" t="s">
        <v>75</v>
      </c>
      <c r="E24" s="79" t="s">
        <v>76</v>
      </c>
      <c r="F24" s="79" t="s">
        <v>77</v>
      </c>
      <c r="G24" s="79" t="s">
        <v>78</v>
      </c>
      <c r="H24" s="79" t="s">
        <v>79</v>
      </c>
      <c r="I24" s="79" t="s">
        <v>80</v>
      </c>
      <c r="J24" s="79" t="s">
        <v>81</v>
      </c>
      <c r="K24" s="79" t="s">
        <v>82</v>
      </c>
      <c r="L24" s="79" t="s">
        <v>40</v>
      </c>
      <c r="M24" s="79"/>
      <c r="N24" s="79"/>
      <c r="O24" s="100">
        <v>6000000</v>
      </c>
      <c r="P24" s="78" t="s">
        <v>41</v>
      </c>
      <c r="Q24" s="100">
        <v>0</v>
      </c>
      <c r="R24" s="101">
        <f>O24-Q24</f>
        <v>6000000</v>
      </c>
      <c r="S24" s="81"/>
      <c r="T24" s="82"/>
      <c r="U24" s="104">
        <f>0.1*R24/1000</f>
        <v>600</v>
      </c>
      <c r="V24" s="105">
        <f>R24/1000-U24-S24-2000</f>
        <v>3400</v>
      </c>
      <c r="W24" s="104"/>
      <c r="X24" s="105">
        <v>2000</v>
      </c>
      <c r="Y24" s="81"/>
      <c r="Z24" s="82"/>
      <c r="AA24" s="81"/>
      <c r="AB24" s="106"/>
      <c r="AC24" s="194">
        <f>SUM(S24:AB24)</f>
        <v>6000</v>
      </c>
    </row>
    <row r="25" spans="1:29" s="92" customFormat="1" ht="63.75" customHeight="1">
      <c r="A25" s="48"/>
      <c r="B25" s="48">
        <v>16</v>
      </c>
      <c r="C25" s="48"/>
      <c r="D25" s="119" t="s">
        <v>83</v>
      </c>
      <c r="E25" s="79" t="s">
        <v>76</v>
      </c>
      <c r="F25" s="79" t="s">
        <v>77</v>
      </c>
      <c r="G25" s="79" t="s">
        <v>84</v>
      </c>
      <c r="H25" s="79" t="s">
        <v>85</v>
      </c>
      <c r="I25" s="79" t="s">
        <v>86</v>
      </c>
      <c r="J25" s="79" t="s">
        <v>81</v>
      </c>
      <c r="K25" s="79" t="s">
        <v>82</v>
      </c>
      <c r="L25" s="79" t="s">
        <v>40</v>
      </c>
      <c r="M25" s="79"/>
      <c r="N25" s="79"/>
      <c r="O25" s="100">
        <v>3000000</v>
      </c>
      <c r="P25" s="78" t="s">
        <v>41</v>
      </c>
      <c r="Q25" s="100">
        <v>0</v>
      </c>
      <c r="R25" s="101">
        <f>O25-Q25</f>
        <v>3000000</v>
      </c>
      <c r="S25" s="81"/>
      <c r="T25" s="82"/>
      <c r="U25" s="104">
        <f>0.1*R25/1000</f>
        <v>300</v>
      </c>
      <c r="V25" s="105">
        <f>R25/1000-U25-S25</f>
        <v>2700</v>
      </c>
      <c r="W25" s="81"/>
      <c r="X25" s="82"/>
      <c r="Y25" s="81"/>
      <c r="Z25" s="82"/>
      <c r="AA25" s="81"/>
      <c r="AB25" s="106"/>
      <c r="AC25" s="194">
        <f>SUM(S25:AB25)</f>
        <v>3000</v>
      </c>
    </row>
    <row r="26" spans="1:29" s="92" customFormat="1" ht="65.25" customHeight="1">
      <c r="A26" s="48"/>
      <c r="B26" s="48">
        <v>60</v>
      </c>
      <c r="C26" s="48"/>
      <c r="D26" s="119" t="s">
        <v>87</v>
      </c>
      <c r="E26" s="79" t="s">
        <v>76</v>
      </c>
      <c r="F26" s="79" t="s">
        <v>88</v>
      </c>
      <c r="G26" s="79" t="s">
        <v>88</v>
      </c>
      <c r="H26" s="79" t="s">
        <v>89</v>
      </c>
      <c r="I26" s="79" t="s">
        <v>90</v>
      </c>
      <c r="J26" s="79" t="s">
        <v>59</v>
      </c>
      <c r="K26" s="79" t="s">
        <v>89</v>
      </c>
      <c r="L26" s="79" t="s">
        <v>91</v>
      </c>
      <c r="M26" s="80" t="s">
        <v>47</v>
      </c>
      <c r="N26" s="79"/>
      <c r="O26" s="100">
        <v>3500000</v>
      </c>
      <c r="P26" s="79" t="s">
        <v>92</v>
      </c>
      <c r="Q26" s="100">
        <v>0</v>
      </c>
      <c r="R26" s="101">
        <f>O26-Q26</f>
        <v>3500000</v>
      </c>
      <c r="S26" s="104">
        <v>300</v>
      </c>
      <c r="T26" s="105"/>
      <c r="U26" s="104"/>
      <c r="V26" s="105">
        <f>R26/1000-S26</f>
        <v>3200</v>
      </c>
      <c r="W26" s="81"/>
      <c r="X26" s="82"/>
      <c r="Y26" s="81"/>
      <c r="Z26" s="82"/>
      <c r="AA26" s="81"/>
      <c r="AB26" s="106"/>
      <c r="AC26" s="194">
        <f>SUM(S26:AB26)</f>
        <v>3500</v>
      </c>
    </row>
    <row r="27" spans="1:29" s="47" customFormat="1" ht="45" customHeight="1">
      <c r="A27" s="84"/>
      <c r="B27" s="48">
        <v>97</v>
      </c>
      <c r="C27" s="97"/>
      <c r="D27" s="76" t="s">
        <v>93</v>
      </c>
      <c r="E27" s="79" t="s">
        <v>35</v>
      </c>
      <c r="F27" s="79" t="s">
        <v>94</v>
      </c>
      <c r="G27" s="79" t="s">
        <v>95</v>
      </c>
      <c r="H27" s="79" t="s">
        <v>96</v>
      </c>
      <c r="I27" s="79" t="s">
        <v>97</v>
      </c>
      <c r="J27" s="79" t="s">
        <v>59</v>
      </c>
      <c r="K27" s="79" t="s">
        <v>96</v>
      </c>
      <c r="L27" s="79" t="s">
        <v>98</v>
      </c>
      <c r="M27" s="80" t="s">
        <v>47</v>
      </c>
      <c r="N27" s="79"/>
      <c r="O27" s="100">
        <v>29920250</v>
      </c>
      <c r="P27" s="79" t="s">
        <v>99</v>
      </c>
      <c r="Q27" s="100">
        <v>3000000</v>
      </c>
      <c r="R27" s="101">
        <f>O27-Q27</f>
        <v>26920250</v>
      </c>
      <c r="S27" s="81"/>
      <c r="T27" s="82">
        <v>500</v>
      </c>
      <c r="U27" s="81"/>
      <c r="V27" s="82">
        <v>500</v>
      </c>
      <c r="W27" s="81"/>
      <c r="X27" s="82">
        <v>1000</v>
      </c>
      <c r="Y27" s="104"/>
      <c r="Z27" s="190">
        <f>R27/1000-X27-V27-T27</f>
        <v>24920.25</v>
      </c>
      <c r="AA27" s="81"/>
      <c r="AB27" s="106"/>
      <c r="AC27" s="194">
        <f>SUM(S27:AB27)</f>
        <v>26920.25</v>
      </c>
    </row>
    <row r="28" spans="1:29" ht="108" customHeight="1">
      <c r="A28" s="48"/>
      <c r="B28" s="48">
        <v>88</v>
      </c>
      <c r="C28" s="48"/>
      <c r="D28" s="76" t="s">
        <v>100</v>
      </c>
      <c r="E28" s="79" t="s">
        <v>76</v>
      </c>
      <c r="F28" s="79" t="s">
        <v>101</v>
      </c>
      <c r="G28" s="79" t="s">
        <v>102</v>
      </c>
      <c r="H28" s="79" t="s">
        <v>103</v>
      </c>
      <c r="I28" s="79" t="s">
        <v>104</v>
      </c>
      <c r="J28" s="79" t="s">
        <v>81</v>
      </c>
      <c r="K28" s="79" t="s">
        <v>105</v>
      </c>
      <c r="L28" s="79" t="s">
        <v>40</v>
      </c>
      <c r="M28" s="79"/>
      <c r="N28" s="79"/>
      <c r="O28" s="100">
        <v>7000000</v>
      </c>
      <c r="P28" s="78" t="s">
        <v>41</v>
      </c>
      <c r="Q28" s="100">
        <v>0</v>
      </c>
      <c r="R28" s="101">
        <f>O28-Q28</f>
        <v>7000000</v>
      </c>
      <c r="S28" s="81"/>
      <c r="T28" s="82"/>
      <c r="U28" s="104">
        <f>700</f>
        <v>700</v>
      </c>
      <c r="V28" s="105">
        <f>R28/1000-S28-U28-2000</f>
        <v>4300</v>
      </c>
      <c r="W28" s="104"/>
      <c r="X28" s="105">
        <v>2000</v>
      </c>
      <c r="Y28" s="81"/>
      <c r="Z28" s="82"/>
      <c r="AA28" s="81"/>
      <c r="AB28" s="106"/>
      <c r="AC28" s="194">
        <f>SUM(S28:AB28)</f>
        <v>7000</v>
      </c>
    </row>
    <row r="29" spans="1:29" s="92" customFormat="1" ht="67.5" customHeight="1">
      <c r="A29" s="84"/>
      <c r="B29" s="48"/>
      <c r="C29" s="48"/>
      <c r="D29" s="76" t="s">
        <v>106</v>
      </c>
      <c r="E29" s="79"/>
      <c r="F29" s="79" t="s">
        <v>107</v>
      </c>
      <c r="G29" s="79" t="s">
        <v>108</v>
      </c>
      <c r="H29" s="79" t="s">
        <v>109</v>
      </c>
      <c r="I29" s="79" t="s">
        <v>110</v>
      </c>
      <c r="J29" s="79" t="s">
        <v>88</v>
      </c>
      <c r="K29" s="86"/>
      <c r="L29" s="87"/>
      <c r="M29" s="87"/>
      <c r="N29" s="87"/>
      <c r="O29" s="90"/>
      <c r="P29" s="87"/>
      <c r="Q29" s="90"/>
      <c r="R29" s="91"/>
      <c r="S29" s="122"/>
      <c r="T29" s="95"/>
      <c r="U29" s="95"/>
      <c r="V29" s="95"/>
      <c r="W29" s="95"/>
      <c r="X29" s="95"/>
      <c r="Y29" s="95"/>
      <c r="Z29" s="95"/>
      <c r="AA29" s="95"/>
      <c r="AB29" s="95"/>
      <c r="AC29" s="96">
        <f>SUM(S29:AB29)</f>
        <v>0</v>
      </c>
    </row>
    <row r="30" spans="1:29" ht="51.75" customHeight="1">
      <c r="A30" s="84"/>
      <c r="B30" s="48">
        <v>162</v>
      </c>
      <c r="C30" s="97"/>
      <c r="D30" s="76" t="s">
        <v>111</v>
      </c>
      <c r="E30" s="79" t="s">
        <v>250</v>
      </c>
      <c r="F30" s="79" t="s">
        <v>107</v>
      </c>
      <c r="G30" s="79" t="s">
        <v>72</v>
      </c>
      <c r="H30" s="79" t="s">
        <v>57</v>
      </c>
      <c r="I30" s="79" t="s">
        <v>112</v>
      </c>
      <c r="J30" s="79" t="s">
        <v>59</v>
      </c>
      <c r="K30" s="79" t="s">
        <v>57</v>
      </c>
      <c r="L30" s="79" t="s">
        <v>113</v>
      </c>
      <c r="M30" s="79"/>
      <c r="N30" s="79"/>
      <c r="O30" s="123">
        <v>1500000</v>
      </c>
      <c r="P30" s="79" t="s">
        <v>41</v>
      </c>
      <c r="Q30" s="100">
        <v>0</v>
      </c>
      <c r="R30" s="124">
        <f t="shared" ref="R30:R56" si="0">O30-Q30</f>
        <v>1500000</v>
      </c>
      <c r="S30" s="81"/>
      <c r="T30" s="82"/>
      <c r="U30" s="81"/>
      <c r="V30" s="82"/>
      <c r="W30" s="104">
        <v>150</v>
      </c>
      <c r="X30" s="105">
        <f>R30/1000-W30</f>
        <v>1350</v>
      </c>
      <c r="Y30" s="81"/>
      <c r="Z30" s="82"/>
      <c r="AA30" s="81"/>
      <c r="AB30" s="106"/>
      <c r="AC30" s="194">
        <f>SUM(S30:AB30)</f>
        <v>1500</v>
      </c>
    </row>
    <row r="31" spans="1:29" ht="42" customHeight="1">
      <c r="A31" s="84"/>
      <c r="B31" s="48"/>
      <c r="C31" s="97"/>
      <c r="D31" s="76" t="s">
        <v>114</v>
      </c>
      <c r="E31" s="79" t="s">
        <v>250</v>
      </c>
      <c r="F31" s="79" t="s">
        <v>107</v>
      </c>
      <c r="G31" s="79" t="s">
        <v>72</v>
      </c>
      <c r="H31" s="79" t="s">
        <v>65</v>
      </c>
      <c r="I31" s="79" t="s">
        <v>115</v>
      </c>
      <c r="J31" s="79" t="s">
        <v>67</v>
      </c>
      <c r="K31" s="79" t="s">
        <v>65</v>
      </c>
      <c r="L31" s="79" t="s">
        <v>116</v>
      </c>
      <c r="M31" s="79"/>
      <c r="N31" s="79"/>
      <c r="O31" s="123">
        <v>900000</v>
      </c>
      <c r="P31" s="79" t="s">
        <v>117</v>
      </c>
      <c r="Q31" s="100">
        <v>300000</v>
      </c>
      <c r="R31" s="124">
        <f t="shared" si="0"/>
        <v>600000</v>
      </c>
      <c r="S31" s="81"/>
      <c r="T31" s="125"/>
      <c r="U31" s="126"/>
      <c r="V31" s="127">
        <f>600000/1000</f>
        <v>600</v>
      </c>
      <c r="W31" s="128"/>
      <c r="X31" s="129"/>
      <c r="Y31" s="128"/>
      <c r="Z31" s="129"/>
      <c r="AA31" s="128"/>
      <c r="AB31" s="130"/>
      <c r="AC31" s="194">
        <f>SUM(S31:AB31)</f>
        <v>600</v>
      </c>
    </row>
    <row r="32" spans="1:29" ht="58.5" customHeight="1">
      <c r="A32" s="84"/>
      <c r="B32" s="48"/>
      <c r="C32" s="97"/>
      <c r="D32" s="76" t="s">
        <v>118</v>
      </c>
      <c r="E32" s="79" t="s">
        <v>250</v>
      </c>
      <c r="F32" s="79" t="s">
        <v>107</v>
      </c>
      <c r="G32" s="79" t="s">
        <v>119</v>
      </c>
      <c r="H32" s="79" t="s">
        <v>53</v>
      </c>
      <c r="I32" s="79" t="s">
        <v>120</v>
      </c>
      <c r="J32" s="79" t="s">
        <v>67</v>
      </c>
      <c r="K32" s="79" t="s">
        <v>53</v>
      </c>
      <c r="L32" s="79" t="s">
        <v>121</v>
      </c>
      <c r="M32" s="118" t="s">
        <v>69</v>
      </c>
      <c r="N32" s="80" t="s">
        <v>47</v>
      </c>
      <c r="O32" s="123">
        <v>847000</v>
      </c>
      <c r="P32" s="79" t="s">
        <v>41</v>
      </c>
      <c r="Q32" s="100">
        <v>0</v>
      </c>
      <c r="R32" s="124">
        <f t="shared" si="0"/>
        <v>847000</v>
      </c>
      <c r="S32" s="104"/>
      <c r="T32" s="131">
        <f>R32/1000</f>
        <v>847</v>
      </c>
      <c r="U32" s="128"/>
      <c r="V32" s="129"/>
      <c r="W32" s="128"/>
      <c r="X32" s="129"/>
      <c r="Y32" s="128"/>
      <c r="Z32" s="129"/>
      <c r="AA32" s="128"/>
      <c r="AB32" s="130"/>
      <c r="AC32" s="194">
        <f>SUM(S32:AB32)</f>
        <v>847</v>
      </c>
    </row>
    <row r="33" spans="1:29" ht="44.25" customHeight="1">
      <c r="A33" s="84"/>
      <c r="B33" s="48"/>
      <c r="C33" s="97"/>
      <c r="D33" s="76" t="s">
        <v>122</v>
      </c>
      <c r="E33" s="79" t="s">
        <v>250</v>
      </c>
      <c r="F33" s="79" t="s">
        <v>107</v>
      </c>
      <c r="G33" s="79" t="s">
        <v>119</v>
      </c>
      <c r="H33" s="79" t="s">
        <v>57</v>
      </c>
      <c r="I33" s="79" t="s">
        <v>123</v>
      </c>
      <c r="J33" s="79"/>
      <c r="K33" s="79" t="s">
        <v>57</v>
      </c>
      <c r="L33" s="79" t="s">
        <v>40</v>
      </c>
      <c r="M33" s="79"/>
      <c r="N33" s="79"/>
      <c r="O33" s="132">
        <v>1500000</v>
      </c>
      <c r="P33" s="79" t="s">
        <v>124</v>
      </c>
      <c r="Q33" s="100">
        <v>0</v>
      </c>
      <c r="R33" s="124">
        <f t="shared" si="0"/>
        <v>1500000</v>
      </c>
      <c r="S33" s="81"/>
      <c r="T33" s="125"/>
      <c r="U33" s="111"/>
      <c r="V33" s="125"/>
      <c r="W33" s="111"/>
      <c r="X33" s="125"/>
      <c r="Y33" s="111"/>
      <c r="Z33" s="125"/>
      <c r="AA33" s="104">
        <v>150</v>
      </c>
      <c r="AB33" s="133">
        <f>-AA33+R33/1000</f>
        <v>1350</v>
      </c>
      <c r="AC33" s="194">
        <f>SUM(S33:AB33)</f>
        <v>1500</v>
      </c>
    </row>
    <row r="34" spans="1:29" s="92" customFormat="1" ht="48.75" customHeight="1">
      <c r="A34" s="84"/>
      <c r="B34" s="48"/>
      <c r="C34" s="97"/>
      <c r="D34" s="76" t="s">
        <v>125</v>
      </c>
      <c r="E34" s="79" t="s">
        <v>250</v>
      </c>
      <c r="F34" s="79" t="s">
        <v>107</v>
      </c>
      <c r="G34" s="79" t="s">
        <v>119</v>
      </c>
      <c r="H34" s="79" t="s">
        <v>53</v>
      </c>
      <c r="I34" s="79" t="s">
        <v>126</v>
      </c>
      <c r="J34" s="79" t="s">
        <v>127</v>
      </c>
      <c r="K34" s="79" t="s">
        <v>53</v>
      </c>
      <c r="L34" s="79" t="s">
        <v>40</v>
      </c>
      <c r="M34" s="118" t="s">
        <v>69</v>
      </c>
      <c r="N34" s="80" t="s">
        <v>47</v>
      </c>
      <c r="O34" s="123">
        <v>22000</v>
      </c>
      <c r="P34" s="79" t="s">
        <v>41</v>
      </c>
      <c r="Q34" s="100">
        <v>0</v>
      </c>
      <c r="R34" s="124">
        <f t="shared" si="0"/>
        <v>22000</v>
      </c>
      <c r="S34" s="104"/>
      <c r="T34" s="131">
        <f>R34/1000</f>
        <v>22</v>
      </c>
      <c r="U34" s="111"/>
      <c r="V34" s="125"/>
      <c r="W34" s="111"/>
      <c r="X34" s="125"/>
      <c r="Y34" s="111"/>
      <c r="Z34" s="125"/>
      <c r="AA34" s="111"/>
      <c r="AB34" s="112"/>
      <c r="AC34" s="194">
        <f>SUM(S34:AB34)</f>
        <v>22</v>
      </c>
    </row>
    <row r="35" spans="1:29" ht="103.5" customHeight="1">
      <c r="A35" s="84"/>
      <c r="B35" s="48">
        <v>59</v>
      </c>
      <c r="C35" s="48"/>
      <c r="D35" s="119" t="s">
        <v>128</v>
      </c>
      <c r="E35" s="77" t="s">
        <v>76</v>
      </c>
      <c r="F35" s="79" t="s">
        <v>129</v>
      </c>
      <c r="G35" s="78" t="s">
        <v>130</v>
      </c>
      <c r="H35" s="79" t="s">
        <v>131</v>
      </c>
      <c r="I35" s="79" t="s">
        <v>132</v>
      </c>
      <c r="J35" s="79" t="s">
        <v>81</v>
      </c>
      <c r="K35" s="79" t="s">
        <v>82</v>
      </c>
      <c r="L35" s="79" t="s">
        <v>40</v>
      </c>
      <c r="M35" s="80" t="s">
        <v>47</v>
      </c>
      <c r="N35" s="80" t="s">
        <v>47</v>
      </c>
      <c r="O35" s="100">
        <v>5000000</v>
      </c>
      <c r="P35" s="78" t="s">
        <v>41</v>
      </c>
      <c r="Q35" s="100">
        <v>0</v>
      </c>
      <c r="R35" s="101">
        <f t="shared" si="0"/>
        <v>5000000</v>
      </c>
      <c r="S35" s="104">
        <f>0.1*R35/1000</f>
        <v>500</v>
      </c>
      <c r="T35" s="105">
        <f>R35/1000-S35</f>
        <v>4500</v>
      </c>
      <c r="U35" s="81"/>
      <c r="V35" s="82"/>
      <c r="W35" s="81"/>
      <c r="X35" s="82"/>
      <c r="Y35" s="81"/>
      <c r="Z35" s="82"/>
      <c r="AA35" s="81"/>
      <c r="AB35" s="106"/>
      <c r="AC35" s="194">
        <f>SUM(S35:AB35)</f>
        <v>5000</v>
      </c>
    </row>
    <row r="36" spans="1:29" ht="48.75" customHeight="1">
      <c r="A36" s="84"/>
      <c r="B36" s="48">
        <v>65</v>
      </c>
      <c r="C36" s="97"/>
      <c r="D36" s="76" t="s">
        <v>133</v>
      </c>
      <c r="E36" s="79" t="s">
        <v>35</v>
      </c>
      <c r="F36" s="78" t="s">
        <v>134</v>
      </c>
      <c r="G36" s="79" t="s">
        <v>135</v>
      </c>
      <c r="H36" s="79" t="s">
        <v>136</v>
      </c>
      <c r="I36" s="79" t="s">
        <v>137</v>
      </c>
      <c r="J36" s="79" t="s">
        <v>67</v>
      </c>
      <c r="K36" s="79" t="s">
        <v>136</v>
      </c>
      <c r="L36" s="79" t="s">
        <v>40</v>
      </c>
      <c r="M36" s="80" t="s">
        <v>47</v>
      </c>
      <c r="N36" s="79"/>
      <c r="O36" s="100">
        <v>500000</v>
      </c>
      <c r="P36" s="78" t="s">
        <v>41</v>
      </c>
      <c r="Q36" s="100">
        <v>0</v>
      </c>
      <c r="R36" s="101">
        <f t="shared" si="0"/>
        <v>500000</v>
      </c>
      <c r="S36" s="104"/>
      <c r="T36" s="131">
        <f>R36/1000*0.2</f>
        <v>100</v>
      </c>
      <c r="U36" s="104"/>
      <c r="V36" s="105">
        <f>R36/1000-T36</f>
        <v>400</v>
      </c>
      <c r="W36" s="81"/>
      <c r="X36" s="82"/>
      <c r="Y36" s="81"/>
      <c r="Z36" s="82"/>
      <c r="AA36" s="81"/>
      <c r="AB36" s="106"/>
      <c r="AC36" s="194">
        <f>SUM(S36:AB36)</f>
        <v>500</v>
      </c>
    </row>
    <row r="37" spans="1:29" s="92" customFormat="1" ht="54.75" customHeight="1">
      <c r="A37" s="84"/>
      <c r="B37" s="48">
        <v>28</v>
      </c>
      <c r="C37" s="97"/>
      <c r="D37" s="76" t="s">
        <v>138</v>
      </c>
      <c r="E37" s="79" t="s">
        <v>250</v>
      </c>
      <c r="F37" s="79" t="s">
        <v>36</v>
      </c>
      <c r="G37" s="79" t="s">
        <v>139</v>
      </c>
      <c r="H37" s="79" t="s">
        <v>57</v>
      </c>
      <c r="I37" s="79" t="s">
        <v>140</v>
      </c>
      <c r="J37" s="79" t="s">
        <v>59</v>
      </c>
      <c r="K37" s="79" t="s">
        <v>57</v>
      </c>
      <c r="L37" s="79" t="s">
        <v>141</v>
      </c>
      <c r="M37" s="79"/>
      <c r="N37" s="79"/>
      <c r="O37" s="100">
        <v>1480000</v>
      </c>
      <c r="P37" s="78" t="s">
        <v>142</v>
      </c>
      <c r="Q37" s="100">
        <v>500000</v>
      </c>
      <c r="R37" s="101">
        <f t="shared" si="0"/>
        <v>980000</v>
      </c>
      <c r="S37" s="81"/>
      <c r="T37" s="82"/>
      <c r="U37" s="81"/>
      <c r="V37" s="82"/>
      <c r="W37" s="104"/>
      <c r="X37" s="105">
        <f>R37/1000</f>
        <v>980</v>
      </c>
      <c r="Y37" s="81"/>
      <c r="Z37" s="82"/>
      <c r="AA37" s="81"/>
      <c r="AB37" s="106"/>
      <c r="AC37" s="194">
        <f>SUM(S37:AB37)</f>
        <v>980</v>
      </c>
    </row>
    <row r="38" spans="1:29" ht="62.25" customHeight="1">
      <c r="A38" s="84"/>
      <c r="B38" s="48">
        <v>66</v>
      </c>
      <c r="C38" s="97"/>
      <c r="D38" s="76" t="s">
        <v>143</v>
      </c>
      <c r="E38" s="79" t="s">
        <v>250</v>
      </c>
      <c r="F38" s="79" t="s">
        <v>43</v>
      </c>
      <c r="G38" s="79" t="s">
        <v>144</v>
      </c>
      <c r="H38" s="79" t="s">
        <v>50</v>
      </c>
      <c r="I38" s="79" t="s">
        <v>145</v>
      </c>
      <c r="J38" s="79" t="s">
        <v>146</v>
      </c>
      <c r="K38" s="79" t="s">
        <v>50</v>
      </c>
      <c r="L38" s="79" t="s">
        <v>147</v>
      </c>
      <c r="M38" s="80" t="s">
        <v>47</v>
      </c>
      <c r="N38" s="79"/>
      <c r="O38" s="100">
        <f>18000000+1300000+300000</f>
        <v>19600000</v>
      </c>
      <c r="P38" s="78" t="s">
        <v>41</v>
      </c>
      <c r="Q38" s="100">
        <v>0</v>
      </c>
      <c r="R38" s="101">
        <f t="shared" si="0"/>
        <v>19600000</v>
      </c>
      <c r="S38" s="104">
        <v>1300</v>
      </c>
      <c r="T38" s="105"/>
      <c r="U38" s="104"/>
      <c r="V38" s="105"/>
      <c r="W38" s="104">
        <v>300</v>
      </c>
      <c r="X38" s="105"/>
      <c r="Y38" s="104"/>
      <c r="Z38" s="105">
        <f>(R38)/1000-S38-W38</f>
        <v>18000</v>
      </c>
      <c r="AA38" s="81"/>
      <c r="AB38" s="106"/>
      <c r="AC38" s="194">
        <f>SUM(S38:AB38)</f>
        <v>19600</v>
      </c>
    </row>
    <row r="39" spans="1:29" s="47" customFormat="1" ht="30.75" customHeight="1">
      <c r="A39" s="84"/>
      <c r="B39" s="48">
        <v>31</v>
      </c>
      <c r="C39" s="48"/>
      <c r="D39" s="76" t="s">
        <v>148</v>
      </c>
      <c r="E39" s="79" t="s">
        <v>76</v>
      </c>
      <c r="F39" s="78" t="s">
        <v>88</v>
      </c>
      <c r="G39" s="78" t="s">
        <v>149</v>
      </c>
      <c r="H39" s="77" t="s">
        <v>136</v>
      </c>
      <c r="I39" s="78" t="s">
        <v>150</v>
      </c>
      <c r="J39" s="78" t="s">
        <v>59</v>
      </c>
      <c r="K39" s="77" t="s">
        <v>136</v>
      </c>
      <c r="L39" s="78" t="s">
        <v>40</v>
      </c>
      <c r="M39" s="78"/>
      <c r="N39" s="78"/>
      <c r="O39" s="100">
        <v>1500000</v>
      </c>
      <c r="P39" s="78" t="s">
        <v>41</v>
      </c>
      <c r="Q39" s="100">
        <v>0</v>
      </c>
      <c r="R39" s="101">
        <f t="shared" si="0"/>
        <v>1500000</v>
      </c>
      <c r="S39" s="102"/>
      <c r="T39" s="103"/>
      <c r="U39" s="104">
        <f>0.1*R39/1000</f>
        <v>150</v>
      </c>
      <c r="V39" s="105"/>
      <c r="W39" s="104"/>
      <c r="X39" s="105"/>
      <c r="Y39" s="104"/>
      <c r="Z39" s="105">
        <f>R39/1000-U39</f>
        <v>1350</v>
      </c>
      <c r="AA39" s="81"/>
      <c r="AB39" s="106"/>
      <c r="AC39" s="194">
        <f>SUM(T39:AB39)</f>
        <v>1500</v>
      </c>
    </row>
    <row r="40" spans="1:29" s="92" customFormat="1" ht="49.5" customHeight="1">
      <c r="A40" s="84"/>
      <c r="B40" s="48">
        <v>30</v>
      </c>
      <c r="C40" s="97"/>
      <c r="D40" s="76" t="s">
        <v>151</v>
      </c>
      <c r="E40" s="79" t="s">
        <v>250</v>
      </c>
      <c r="F40" s="79" t="s">
        <v>43</v>
      </c>
      <c r="G40" s="79" t="s">
        <v>152</v>
      </c>
      <c r="H40" s="79" t="s">
        <v>53</v>
      </c>
      <c r="I40" s="79" t="s">
        <v>153</v>
      </c>
      <c r="J40" s="79" t="s">
        <v>67</v>
      </c>
      <c r="K40" s="79" t="s">
        <v>53</v>
      </c>
      <c r="L40" s="79" t="s">
        <v>40</v>
      </c>
      <c r="M40" s="80" t="s">
        <v>47</v>
      </c>
      <c r="N40" s="79"/>
      <c r="O40" s="100">
        <v>585000</v>
      </c>
      <c r="P40" s="78" t="s">
        <v>41</v>
      </c>
      <c r="Q40" s="100">
        <v>0</v>
      </c>
      <c r="R40" s="101">
        <f t="shared" si="0"/>
        <v>585000</v>
      </c>
      <c r="S40" s="104">
        <f>0.1*R40/1000</f>
        <v>58.5</v>
      </c>
      <c r="T40" s="105"/>
      <c r="U40" s="104"/>
      <c r="V40" s="105">
        <f>R40/1000-S40</f>
        <v>526.5</v>
      </c>
      <c r="W40" s="81"/>
      <c r="X40" s="82"/>
      <c r="Y40" s="81"/>
      <c r="Z40" s="82"/>
      <c r="AA40" s="81"/>
      <c r="AB40" s="106"/>
      <c r="AC40" s="194">
        <f>SUM(S40:AB40)</f>
        <v>585</v>
      </c>
    </row>
    <row r="41" spans="1:29" s="47" customFormat="1" ht="33.75">
      <c r="A41" s="84"/>
      <c r="B41" s="48">
        <v>67</v>
      </c>
      <c r="C41" s="97"/>
      <c r="D41" s="76" t="s">
        <v>154</v>
      </c>
      <c r="E41" s="79" t="s">
        <v>250</v>
      </c>
      <c r="F41" s="79" t="s">
        <v>43</v>
      </c>
      <c r="G41" s="79" t="s">
        <v>155</v>
      </c>
      <c r="H41" s="79" t="s">
        <v>53</v>
      </c>
      <c r="I41" s="79" t="s">
        <v>156</v>
      </c>
      <c r="J41" s="79" t="s">
        <v>67</v>
      </c>
      <c r="K41" s="79" t="s">
        <v>53</v>
      </c>
      <c r="L41" s="79" t="s">
        <v>40</v>
      </c>
      <c r="M41" s="80" t="s">
        <v>47</v>
      </c>
      <c r="N41" s="79"/>
      <c r="O41" s="100">
        <v>320000</v>
      </c>
      <c r="P41" s="78" t="s">
        <v>41</v>
      </c>
      <c r="Q41" s="100">
        <v>0</v>
      </c>
      <c r="R41" s="101">
        <f t="shared" si="0"/>
        <v>320000</v>
      </c>
      <c r="S41" s="104">
        <f>0.1*R41/1000</f>
        <v>32</v>
      </c>
      <c r="T41" s="105"/>
      <c r="U41" s="104"/>
      <c r="V41" s="105">
        <f>R41/1000-S41</f>
        <v>288</v>
      </c>
      <c r="W41" s="81"/>
      <c r="X41" s="82"/>
      <c r="Y41" s="81"/>
      <c r="Z41" s="82"/>
      <c r="AA41" s="81"/>
      <c r="AB41" s="106"/>
      <c r="AC41" s="194">
        <f>SUM(S41:AB41)</f>
        <v>320</v>
      </c>
    </row>
    <row r="42" spans="1:29" s="92" customFormat="1" ht="49.5" customHeight="1">
      <c r="A42" s="84"/>
      <c r="B42" s="85"/>
      <c r="C42" s="97"/>
      <c r="D42" s="76" t="s">
        <v>157</v>
      </c>
      <c r="E42" s="79" t="s">
        <v>35</v>
      </c>
      <c r="F42" s="79" t="s">
        <v>36</v>
      </c>
      <c r="G42" s="79" t="s">
        <v>158</v>
      </c>
      <c r="H42" s="79" t="s">
        <v>159</v>
      </c>
      <c r="I42" s="79" t="s">
        <v>160</v>
      </c>
      <c r="J42" s="79" t="s">
        <v>161</v>
      </c>
      <c r="K42" s="79" t="s">
        <v>159</v>
      </c>
      <c r="L42" s="79" t="s">
        <v>162</v>
      </c>
      <c r="M42" s="79"/>
      <c r="N42" s="79"/>
      <c r="O42" s="100">
        <v>6000000</v>
      </c>
      <c r="P42" s="79" t="s">
        <v>163</v>
      </c>
      <c r="Q42" s="100">
        <f>1217000+3625000</f>
        <v>4842000</v>
      </c>
      <c r="R42" s="134">
        <f t="shared" si="0"/>
        <v>1158000</v>
      </c>
      <c r="S42" s="102"/>
      <c r="T42" s="103"/>
      <c r="U42" s="104"/>
      <c r="V42" s="105">
        <f>R42/1000</f>
        <v>1158</v>
      </c>
      <c r="W42" s="102"/>
      <c r="X42" s="103"/>
      <c r="Y42" s="81"/>
      <c r="Z42" s="82"/>
      <c r="AA42" s="81"/>
      <c r="AB42" s="106"/>
      <c r="AC42" s="194">
        <f>SUM(S42:AB42)</f>
        <v>1158</v>
      </c>
    </row>
    <row r="43" spans="1:29" s="92" customFormat="1" ht="41.25" customHeight="1">
      <c r="A43" s="84"/>
      <c r="B43" s="48">
        <v>70</v>
      </c>
      <c r="C43" s="97"/>
      <c r="D43" s="76" t="s">
        <v>164</v>
      </c>
      <c r="E43" s="79" t="s">
        <v>250</v>
      </c>
      <c r="F43" s="79" t="s">
        <v>43</v>
      </c>
      <c r="G43" s="79" t="s">
        <v>165</v>
      </c>
      <c r="H43" s="79" t="s">
        <v>45</v>
      </c>
      <c r="I43" s="78" t="s">
        <v>166</v>
      </c>
      <c r="J43" s="78" t="s">
        <v>59</v>
      </c>
      <c r="K43" s="78" t="s">
        <v>45</v>
      </c>
      <c r="L43" s="79" t="s">
        <v>167</v>
      </c>
      <c r="M43" s="79"/>
      <c r="N43" s="79"/>
      <c r="O43" s="100">
        <v>1000000</v>
      </c>
      <c r="P43" s="78" t="s">
        <v>41</v>
      </c>
      <c r="Q43" s="100">
        <v>0</v>
      </c>
      <c r="R43" s="101">
        <f t="shared" si="0"/>
        <v>1000000</v>
      </c>
      <c r="S43" s="81"/>
      <c r="T43" s="82"/>
      <c r="U43" s="81"/>
      <c r="V43" s="82"/>
      <c r="W43" s="81"/>
      <c r="X43" s="82"/>
      <c r="Y43" s="81"/>
      <c r="Z43" s="82"/>
      <c r="AA43" s="104"/>
      <c r="AB43" s="133">
        <f>R43/1000</f>
        <v>1000</v>
      </c>
      <c r="AC43" s="194">
        <f>SUM(S43:AB43)</f>
        <v>1000</v>
      </c>
    </row>
    <row r="44" spans="1:29" ht="48.75" customHeight="1">
      <c r="A44" s="48"/>
      <c r="B44" s="85"/>
      <c r="C44" s="97"/>
      <c r="D44" s="76" t="s">
        <v>168</v>
      </c>
      <c r="E44" s="79" t="s">
        <v>35</v>
      </c>
      <c r="F44" s="79" t="s">
        <v>63</v>
      </c>
      <c r="G44" s="79" t="s">
        <v>169</v>
      </c>
      <c r="H44" s="79" t="s">
        <v>170</v>
      </c>
      <c r="I44" s="79" t="s">
        <v>171</v>
      </c>
      <c r="J44" s="79" t="s">
        <v>59</v>
      </c>
      <c r="K44" s="79" t="s">
        <v>170</v>
      </c>
      <c r="L44" s="79" t="s">
        <v>172</v>
      </c>
      <c r="M44" s="80" t="s">
        <v>47</v>
      </c>
      <c r="N44" s="79"/>
      <c r="O44" s="100">
        <v>5140000</v>
      </c>
      <c r="P44" s="78" t="s">
        <v>41</v>
      </c>
      <c r="Q44" s="100">
        <v>0</v>
      </c>
      <c r="R44" s="101">
        <f t="shared" si="0"/>
        <v>5140000</v>
      </c>
      <c r="S44" s="104">
        <v>300</v>
      </c>
      <c r="T44" s="127"/>
      <c r="U44" s="104">
        <v>317</v>
      </c>
      <c r="V44" s="127"/>
      <c r="W44" s="135"/>
      <c r="X44" s="136">
        <f>R44/1000-S44-U44</f>
        <v>4523</v>
      </c>
      <c r="Y44" s="137"/>
      <c r="Z44" s="138"/>
      <c r="AA44" s="137"/>
      <c r="AB44" s="139"/>
      <c r="AC44" s="194">
        <f>SUM(S44:AB44)</f>
        <v>5140</v>
      </c>
    </row>
    <row r="45" spans="1:29" s="92" customFormat="1" ht="33.75" customHeight="1">
      <c r="A45" s="84"/>
      <c r="B45" s="48"/>
      <c r="C45" s="97"/>
      <c r="D45" s="76" t="s">
        <v>173</v>
      </c>
      <c r="E45" s="79" t="s">
        <v>35</v>
      </c>
      <c r="F45" s="79" t="s">
        <v>174</v>
      </c>
      <c r="G45" s="79" t="s">
        <v>175</v>
      </c>
      <c r="H45" s="79" t="s">
        <v>38</v>
      </c>
      <c r="I45" s="79" t="s">
        <v>176</v>
      </c>
      <c r="J45" s="79" t="s">
        <v>59</v>
      </c>
      <c r="K45" s="79" t="s">
        <v>38</v>
      </c>
      <c r="L45" s="79" t="s">
        <v>40</v>
      </c>
      <c r="M45" s="79"/>
      <c r="N45" s="79"/>
      <c r="O45" s="140">
        <v>1500000</v>
      </c>
      <c r="P45" s="79" t="s">
        <v>41</v>
      </c>
      <c r="Q45" s="100">
        <v>0</v>
      </c>
      <c r="R45" s="101">
        <f t="shared" si="0"/>
        <v>1500000</v>
      </c>
      <c r="S45" s="81"/>
      <c r="T45" s="82"/>
      <c r="U45" s="104">
        <f>0.1*R45/1000</f>
        <v>150</v>
      </c>
      <c r="V45" s="105"/>
      <c r="W45" s="104"/>
      <c r="X45" s="105"/>
      <c r="Y45" s="104"/>
      <c r="Z45" s="105">
        <f>R45/1000-U45</f>
        <v>1350</v>
      </c>
      <c r="AA45" s="81"/>
      <c r="AB45" s="106"/>
      <c r="AC45" s="194">
        <f>SUM(S45:AB45)</f>
        <v>1500</v>
      </c>
    </row>
    <row r="46" spans="1:29" ht="51.75" customHeight="1">
      <c r="A46" s="84"/>
      <c r="B46" s="48"/>
      <c r="C46" s="48"/>
      <c r="D46" s="76" t="s">
        <v>177</v>
      </c>
      <c r="E46" s="116" t="s">
        <v>178</v>
      </c>
      <c r="F46" s="79" t="s">
        <v>179</v>
      </c>
      <c r="G46" s="79" t="s">
        <v>180</v>
      </c>
      <c r="H46" s="79" t="s">
        <v>89</v>
      </c>
      <c r="I46" s="79" t="s">
        <v>181</v>
      </c>
      <c r="J46" s="79" t="s">
        <v>59</v>
      </c>
      <c r="K46" s="79" t="s">
        <v>182</v>
      </c>
      <c r="L46" s="79" t="s">
        <v>40</v>
      </c>
      <c r="M46" s="118" t="s">
        <v>69</v>
      </c>
      <c r="N46" s="80" t="s">
        <v>47</v>
      </c>
      <c r="O46" s="100">
        <v>186000</v>
      </c>
      <c r="P46" s="78" t="s">
        <v>41</v>
      </c>
      <c r="Q46" s="100">
        <v>0</v>
      </c>
      <c r="R46" s="134">
        <f t="shared" si="0"/>
        <v>186000</v>
      </c>
      <c r="S46" s="104"/>
      <c r="T46" s="133">
        <f>R46/1000</f>
        <v>186</v>
      </c>
      <c r="U46" s="141"/>
      <c r="V46" s="142"/>
      <c r="W46" s="143"/>
      <c r="X46" s="144"/>
      <c r="Y46" s="141"/>
      <c r="Z46" s="142"/>
      <c r="AA46" s="143"/>
      <c r="AB46" s="144"/>
      <c r="AC46" s="194">
        <f>SUM(S46:AB46)</f>
        <v>186</v>
      </c>
    </row>
    <row r="47" spans="1:29" s="92" customFormat="1" ht="96" customHeight="1">
      <c r="A47" s="48"/>
      <c r="B47" s="48"/>
      <c r="C47" s="48"/>
      <c r="D47" s="76" t="s">
        <v>183</v>
      </c>
      <c r="E47" s="79" t="s">
        <v>252</v>
      </c>
      <c r="F47" s="79" t="s">
        <v>184</v>
      </c>
      <c r="G47" s="79" t="s">
        <v>185</v>
      </c>
      <c r="H47" s="79" t="s">
        <v>50</v>
      </c>
      <c r="I47" s="79" t="s">
        <v>186</v>
      </c>
      <c r="J47" s="79" t="s">
        <v>59</v>
      </c>
      <c r="K47" s="79" t="s">
        <v>50</v>
      </c>
      <c r="L47" s="79" t="s">
        <v>187</v>
      </c>
      <c r="M47" s="79"/>
      <c r="N47" s="79"/>
      <c r="O47" s="100">
        <v>21000000</v>
      </c>
      <c r="P47" s="78" t="s">
        <v>41</v>
      </c>
      <c r="Q47" s="100">
        <v>0</v>
      </c>
      <c r="R47" s="134">
        <f t="shared" si="0"/>
        <v>21000000</v>
      </c>
      <c r="S47" s="81"/>
      <c r="T47" s="82"/>
      <c r="U47" s="104"/>
      <c r="V47" s="190">
        <f>0.5*R47/1000</f>
        <v>10500</v>
      </c>
      <c r="W47" s="104"/>
      <c r="X47" s="190">
        <f>V47</f>
        <v>10500</v>
      </c>
      <c r="Y47" s="81"/>
      <c r="Z47" s="82"/>
      <c r="AA47" s="81"/>
      <c r="AB47" s="106"/>
      <c r="AC47" s="194">
        <f>SUM(S47:AB47)</f>
        <v>21000</v>
      </c>
    </row>
    <row r="48" spans="1:29" s="92" customFormat="1" ht="33.75" customHeight="1">
      <c r="A48" s="84"/>
      <c r="B48" s="48"/>
      <c r="C48" s="97"/>
      <c r="D48" s="76" t="s">
        <v>188</v>
      </c>
      <c r="E48" s="79" t="s">
        <v>250</v>
      </c>
      <c r="F48" s="79" t="s">
        <v>189</v>
      </c>
      <c r="G48" s="79" t="s">
        <v>190</v>
      </c>
      <c r="H48" s="79" t="s">
        <v>50</v>
      </c>
      <c r="I48" s="79" t="s">
        <v>191</v>
      </c>
      <c r="J48" s="79" t="s">
        <v>59</v>
      </c>
      <c r="K48" s="79" t="s">
        <v>50</v>
      </c>
      <c r="L48" s="79" t="s">
        <v>40</v>
      </c>
      <c r="M48" s="80" t="s">
        <v>47</v>
      </c>
      <c r="N48" s="79"/>
      <c r="O48" s="100">
        <v>600000</v>
      </c>
      <c r="P48" s="79" t="s">
        <v>41</v>
      </c>
      <c r="Q48" s="100">
        <v>0</v>
      </c>
      <c r="R48" s="101">
        <f t="shared" si="0"/>
        <v>600000</v>
      </c>
      <c r="S48" s="104">
        <f>R48/1000*0.1</f>
        <v>60</v>
      </c>
      <c r="T48" s="127"/>
      <c r="U48" s="104"/>
      <c r="V48" s="127">
        <f>R48/1000-S48</f>
        <v>540</v>
      </c>
      <c r="W48" s="145"/>
      <c r="X48" s="146"/>
      <c r="Y48" s="147"/>
      <c r="Z48" s="148"/>
      <c r="AA48" s="145"/>
      <c r="AB48" s="146"/>
      <c r="AC48" s="194">
        <f>SUM(S48:AB48)</f>
        <v>600</v>
      </c>
    </row>
    <row r="49" spans="1:29" ht="22.5">
      <c r="A49" s="84"/>
      <c r="B49" s="48">
        <v>75</v>
      </c>
      <c r="C49" s="97"/>
      <c r="D49" s="76" t="s">
        <v>192</v>
      </c>
      <c r="E49" s="79" t="s">
        <v>250</v>
      </c>
      <c r="F49" s="79" t="s">
        <v>193</v>
      </c>
      <c r="G49" s="79" t="s">
        <v>194</v>
      </c>
      <c r="H49" s="79" t="s">
        <v>195</v>
      </c>
      <c r="I49" s="79" t="s">
        <v>196</v>
      </c>
      <c r="J49" s="79" t="s">
        <v>67</v>
      </c>
      <c r="K49" s="79" t="s">
        <v>170</v>
      </c>
      <c r="L49" s="79" t="s">
        <v>40</v>
      </c>
      <c r="M49" s="80" t="s">
        <v>47</v>
      </c>
      <c r="N49" s="79"/>
      <c r="O49" s="100">
        <v>675000</v>
      </c>
      <c r="P49" s="78" t="s">
        <v>41</v>
      </c>
      <c r="Q49" s="100">
        <v>0</v>
      </c>
      <c r="R49" s="101">
        <f t="shared" si="0"/>
        <v>675000</v>
      </c>
      <c r="S49" s="104">
        <v>75</v>
      </c>
      <c r="T49" s="105"/>
      <c r="U49" s="104"/>
      <c r="V49" s="105"/>
      <c r="W49" s="104"/>
      <c r="X49" s="105">
        <f>R49/1000-S49</f>
        <v>600</v>
      </c>
      <c r="Y49" s="81"/>
      <c r="Z49" s="82"/>
      <c r="AA49" s="81"/>
      <c r="AB49" s="106"/>
      <c r="AC49" s="194">
        <f>SUM(S49:AB49)</f>
        <v>675</v>
      </c>
    </row>
    <row r="50" spans="1:29" ht="59.25" customHeight="1">
      <c r="A50" s="84"/>
      <c r="B50" s="48"/>
      <c r="C50" s="97"/>
      <c r="D50" s="76" t="s">
        <v>197</v>
      </c>
      <c r="E50" s="79" t="s">
        <v>35</v>
      </c>
      <c r="F50" s="79" t="s">
        <v>189</v>
      </c>
      <c r="G50" s="79" t="s">
        <v>198</v>
      </c>
      <c r="H50" s="116" t="s">
        <v>38</v>
      </c>
      <c r="I50" s="79" t="s">
        <v>199</v>
      </c>
      <c r="J50" s="79" t="s">
        <v>67</v>
      </c>
      <c r="K50" s="116" t="s">
        <v>38</v>
      </c>
      <c r="L50" s="79" t="s">
        <v>40</v>
      </c>
      <c r="M50" s="118" t="s">
        <v>69</v>
      </c>
      <c r="N50" s="80" t="s">
        <v>47</v>
      </c>
      <c r="O50" s="123">
        <v>2500000</v>
      </c>
      <c r="P50" s="79" t="s">
        <v>41</v>
      </c>
      <c r="Q50" s="100">
        <v>0</v>
      </c>
      <c r="R50" s="101">
        <f t="shared" si="0"/>
        <v>2500000</v>
      </c>
      <c r="S50" s="104"/>
      <c r="T50" s="127">
        <f>R50/1000</f>
        <v>2500</v>
      </c>
      <c r="U50" s="81"/>
      <c r="V50" s="82"/>
      <c r="W50" s="111"/>
      <c r="X50" s="125"/>
      <c r="Y50" s="111"/>
      <c r="Z50" s="125"/>
      <c r="AA50" s="111"/>
      <c r="AB50" s="112"/>
      <c r="AC50" s="194">
        <f>SUM(S50:AB50)</f>
        <v>2500</v>
      </c>
    </row>
    <row r="51" spans="1:29" ht="36" customHeight="1">
      <c r="A51" s="48"/>
      <c r="B51" s="48">
        <v>33</v>
      </c>
      <c r="C51" s="48"/>
      <c r="D51" s="76" t="s">
        <v>200</v>
      </c>
      <c r="E51" s="79" t="s">
        <v>250</v>
      </c>
      <c r="F51" s="79" t="s">
        <v>201</v>
      </c>
      <c r="G51" s="79" t="s">
        <v>202</v>
      </c>
      <c r="H51" s="79" t="s">
        <v>203</v>
      </c>
      <c r="I51" s="79" t="s">
        <v>204</v>
      </c>
      <c r="J51" s="79" t="s">
        <v>67</v>
      </c>
      <c r="K51" s="79" t="s">
        <v>205</v>
      </c>
      <c r="L51" s="79" t="s">
        <v>40</v>
      </c>
      <c r="M51" s="79"/>
      <c r="N51" s="79"/>
      <c r="O51" s="100">
        <v>500000</v>
      </c>
      <c r="P51" s="78" t="s">
        <v>41</v>
      </c>
      <c r="Q51" s="100">
        <v>0</v>
      </c>
      <c r="R51" s="101">
        <f t="shared" si="0"/>
        <v>500000</v>
      </c>
      <c r="S51" s="104"/>
      <c r="T51" s="105"/>
      <c r="U51" s="104">
        <f>0.1*R51/1000</f>
        <v>50</v>
      </c>
      <c r="V51" s="105"/>
      <c r="W51" s="104"/>
      <c r="X51" s="105">
        <f>R51/1000-S51</f>
        <v>500</v>
      </c>
      <c r="Y51" s="81"/>
      <c r="Z51" s="82"/>
      <c r="AA51" s="81"/>
      <c r="AB51" s="106"/>
      <c r="AC51" s="194">
        <f>SUM(S51:AB51)</f>
        <v>550</v>
      </c>
    </row>
    <row r="52" spans="1:29" ht="44.25" customHeight="1">
      <c r="A52" s="84"/>
      <c r="B52" s="48"/>
      <c r="C52" s="97"/>
      <c r="D52" s="76" t="s">
        <v>206</v>
      </c>
      <c r="E52" s="79" t="s">
        <v>35</v>
      </c>
      <c r="F52" s="79" t="s">
        <v>207</v>
      </c>
      <c r="G52" s="79" t="s">
        <v>208</v>
      </c>
      <c r="H52" s="79" t="s">
        <v>170</v>
      </c>
      <c r="I52" s="79" t="s">
        <v>209</v>
      </c>
      <c r="J52" s="79" t="s">
        <v>67</v>
      </c>
      <c r="K52" s="79" t="s">
        <v>170</v>
      </c>
      <c r="L52" s="79" t="s">
        <v>40</v>
      </c>
      <c r="M52" s="80" t="s">
        <v>47</v>
      </c>
      <c r="N52" s="79"/>
      <c r="O52" s="100">
        <v>2350000</v>
      </c>
      <c r="P52" s="78" t="s">
        <v>41</v>
      </c>
      <c r="Q52" s="100">
        <v>0</v>
      </c>
      <c r="R52" s="101">
        <f t="shared" si="0"/>
        <v>2350000</v>
      </c>
      <c r="S52" s="104">
        <v>150</v>
      </c>
      <c r="T52" s="127"/>
      <c r="U52" s="104">
        <v>132</v>
      </c>
      <c r="V52" s="127"/>
      <c r="W52" s="135"/>
      <c r="X52" s="136">
        <f>R52/1000-S52-U52</f>
        <v>2068</v>
      </c>
      <c r="Y52" s="81"/>
      <c r="Z52" s="82"/>
      <c r="AA52" s="81"/>
      <c r="AB52" s="106"/>
      <c r="AC52" s="194">
        <f>SUM(S52:AB52)</f>
        <v>2350</v>
      </c>
    </row>
    <row r="53" spans="1:29" ht="56.25">
      <c r="A53" s="84"/>
      <c r="B53" s="48"/>
      <c r="C53" s="97"/>
      <c r="D53" s="76" t="s">
        <v>210</v>
      </c>
      <c r="E53" s="79" t="s">
        <v>250</v>
      </c>
      <c r="F53" s="78" t="s">
        <v>134</v>
      </c>
      <c r="G53" s="79" t="s">
        <v>139</v>
      </c>
      <c r="H53" s="79" t="s">
        <v>53</v>
      </c>
      <c r="I53" s="79" t="s">
        <v>211</v>
      </c>
      <c r="J53" s="79" t="s">
        <v>59</v>
      </c>
      <c r="K53" s="79" t="s">
        <v>53</v>
      </c>
      <c r="L53" s="79" t="s">
        <v>212</v>
      </c>
      <c r="M53" s="79"/>
      <c r="N53" s="79"/>
      <c r="O53" s="100">
        <v>5175000</v>
      </c>
      <c r="P53" s="78" t="s">
        <v>41</v>
      </c>
      <c r="Q53" s="100">
        <v>0</v>
      </c>
      <c r="R53" s="101">
        <f t="shared" si="0"/>
        <v>5175000</v>
      </c>
      <c r="S53" s="81"/>
      <c r="T53" s="82"/>
      <c r="U53" s="81"/>
      <c r="V53" s="82"/>
      <c r="W53" s="104">
        <f>0.1*R53/1000</f>
        <v>517.5</v>
      </c>
      <c r="X53" s="105"/>
      <c r="Y53" s="104"/>
      <c r="Z53" s="105">
        <f>R53/1000-W53</f>
        <v>4657.5</v>
      </c>
      <c r="AA53" s="81"/>
      <c r="AB53" s="106"/>
      <c r="AC53" s="194">
        <f>SUM(S53:AB53)</f>
        <v>5175</v>
      </c>
    </row>
    <row r="54" spans="1:29" ht="27" customHeight="1">
      <c r="A54" s="84"/>
      <c r="B54" s="48"/>
      <c r="C54" s="48"/>
      <c r="D54" s="76" t="s">
        <v>213</v>
      </c>
      <c r="E54" s="79" t="s">
        <v>250</v>
      </c>
      <c r="F54" s="79" t="s">
        <v>43</v>
      </c>
      <c r="G54" s="79" t="s">
        <v>214</v>
      </c>
      <c r="H54" s="79" t="s">
        <v>205</v>
      </c>
      <c r="I54" s="79" t="s">
        <v>215</v>
      </c>
      <c r="J54" s="79" t="s">
        <v>67</v>
      </c>
      <c r="K54" s="79" t="s">
        <v>205</v>
      </c>
      <c r="L54" s="79" t="s">
        <v>40</v>
      </c>
      <c r="M54" s="79"/>
      <c r="N54" s="79"/>
      <c r="O54" s="100">
        <v>400000</v>
      </c>
      <c r="P54" s="78" t="s">
        <v>41</v>
      </c>
      <c r="Q54" s="100">
        <v>0</v>
      </c>
      <c r="R54" s="101">
        <f t="shared" si="0"/>
        <v>400000</v>
      </c>
      <c r="S54" s="81"/>
      <c r="T54" s="82"/>
      <c r="U54" s="104">
        <f>0.1*R54/1000</f>
        <v>40</v>
      </c>
      <c r="V54" s="105"/>
      <c r="W54" s="104"/>
      <c r="X54" s="105">
        <f>R54/1000-U54</f>
        <v>360</v>
      </c>
      <c r="Y54" s="81"/>
      <c r="Z54" s="82"/>
      <c r="AA54" s="81"/>
      <c r="AB54" s="106"/>
      <c r="AC54" s="194">
        <f>SUM(S54:AB54)</f>
        <v>400</v>
      </c>
    </row>
    <row r="55" spans="1:29" ht="45" customHeight="1">
      <c r="A55" s="84"/>
      <c r="B55" s="48"/>
      <c r="C55" s="97"/>
      <c r="D55" s="76" t="s">
        <v>216</v>
      </c>
      <c r="E55" s="79" t="s">
        <v>35</v>
      </c>
      <c r="F55" s="79" t="s">
        <v>217</v>
      </c>
      <c r="G55" s="79" t="s">
        <v>218</v>
      </c>
      <c r="H55" s="79" t="s">
        <v>65</v>
      </c>
      <c r="I55" s="79" t="s">
        <v>219</v>
      </c>
      <c r="J55" s="79" t="s">
        <v>59</v>
      </c>
      <c r="K55" s="79" t="s">
        <v>65</v>
      </c>
      <c r="L55" s="79" t="s">
        <v>40</v>
      </c>
      <c r="M55" s="79"/>
      <c r="N55" s="79"/>
      <c r="O55" s="100">
        <v>9200000</v>
      </c>
      <c r="P55" s="79" t="s">
        <v>220</v>
      </c>
      <c r="Q55" s="100">
        <f>2916101+2112527</f>
        <v>5028628</v>
      </c>
      <c r="R55" s="101">
        <f t="shared" si="0"/>
        <v>4171372</v>
      </c>
      <c r="S55" s="81"/>
      <c r="T55" s="82"/>
      <c r="U55" s="81"/>
      <c r="V55" s="82"/>
      <c r="W55" s="104"/>
      <c r="X55" s="105">
        <f>R55/1000</f>
        <v>4171.3720000000003</v>
      </c>
      <c r="Y55" s="81"/>
      <c r="Z55" s="82"/>
      <c r="AA55" s="81"/>
      <c r="AB55" s="106"/>
      <c r="AC55" s="194">
        <f>SUM(S55:AB55)</f>
        <v>4171.3720000000003</v>
      </c>
    </row>
    <row r="56" spans="1:29" ht="34.5" thickBot="1">
      <c r="A56" s="84"/>
      <c r="B56" s="48"/>
      <c r="C56" s="97"/>
      <c r="D56" s="149" t="s">
        <v>221</v>
      </c>
      <c r="E56" s="79" t="s">
        <v>250</v>
      </c>
      <c r="F56" s="151" t="s">
        <v>134</v>
      </c>
      <c r="G56" s="152" t="s">
        <v>139</v>
      </c>
      <c r="H56" s="150" t="s">
        <v>53</v>
      </c>
      <c r="I56" s="152" t="s">
        <v>222</v>
      </c>
      <c r="J56" s="152" t="s">
        <v>67</v>
      </c>
      <c r="K56" s="152" t="s">
        <v>53</v>
      </c>
      <c r="L56" s="151" t="s">
        <v>40</v>
      </c>
      <c r="M56" s="118" t="s">
        <v>69</v>
      </c>
      <c r="N56" s="80" t="s">
        <v>47</v>
      </c>
      <c r="O56" s="153">
        <v>30000</v>
      </c>
      <c r="P56" s="152" t="s">
        <v>41</v>
      </c>
      <c r="Q56" s="154">
        <v>0</v>
      </c>
      <c r="R56" s="155">
        <f t="shared" si="0"/>
        <v>30000</v>
      </c>
      <c r="S56" s="156"/>
      <c r="T56" s="157">
        <f>R56/1000</f>
        <v>30</v>
      </c>
      <c r="U56" s="158"/>
      <c r="V56" s="159"/>
      <c r="W56" s="158"/>
      <c r="X56" s="159"/>
      <c r="Y56" s="158"/>
      <c r="Z56" s="159"/>
      <c r="AA56" s="158"/>
      <c r="AB56" s="160"/>
      <c r="AC56" s="195">
        <f>SUM(S56:AB56)</f>
        <v>30</v>
      </c>
    </row>
    <row r="57" spans="1:29" s="92" customFormat="1">
      <c r="A57" s="17"/>
      <c r="B57" s="17"/>
      <c r="C57" s="17"/>
      <c r="D57" s="161"/>
      <c r="E57" s="161"/>
      <c r="F57" s="161"/>
      <c r="G57" s="161"/>
      <c r="H57" s="162"/>
      <c r="I57" s="163"/>
      <c r="J57" s="163"/>
      <c r="K57" s="161"/>
      <c r="L57" s="161"/>
      <c r="M57" s="161"/>
      <c r="N57" s="161"/>
      <c r="O57" s="161"/>
      <c r="P57" s="164"/>
      <c r="Q57" s="165"/>
      <c r="R57" s="161"/>
      <c r="S57" s="17"/>
      <c r="T57" s="17"/>
      <c r="U57" s="17"/>
      <c r="V57" s="17"/>
      <c r="W57" s="17"/>
      <c r="X57" s="17"/>
      <c r="Y57" s="17"/>
      <c r="Z57" s="17"/>
      <c r="AA57" s="17"/>
      <c r="AB57" s="166"/>
      <c r="AC57" s="17"/>
    </row>
    <row r="58" spans="1:29" ht="12" thickBot="1">
      <c r="A58" s="84"/>
      <c r="B58" s="92"/>
      <c r="C58" s="92"/>
      <c r="D58" s="167"/>
      <c r="E58" s="167"/>
      <c r="F58" s="167"/>
      <c r="G58" s="167"/>
      <c r="H58" s="167"/>
      <c r="I58" s="167"/>
      <c r="J58" s="167"/>
      <c r="K58" s="167"/>
      <c r="Q58" s="168" t="s">
        <v>223</v>
      </c>
      <c r="R58" s="169">
        <f>SUM(R7:R56)</f>
        <v>141074622</v>
      </c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>
      <c r="A59" s="48"/>
      <c r="D59" s="170"/>
      <c r="E59" s="170"/>
      <c r="F59" s="170"/>
      <c r="G59" s="170"/>
      <c r="H59" s="171"/>
      <c r="I59" s="172"/>
      <c r="J59" s="170"/>
      <c r="L59" s="17"/>
      <c r="M59" s="17"/>
      <c r="N59" s="17"/>
      <c r="S59" s="3" t="s">
        <v>224</v>
      </c>
      <c r="T59" s="2"/>
      <c r="U59" s="3" t="s">
        <v>225</v>
      </c>
      <c r="V59" s="4"/>
      <c r="W59" s="1" t="s">
        <v>226</v>
      </c>
      <c r="X59" s="2"/>
      <c r="Y59" s="3" t="s">
        <v>227</v>
      </c>
      <c r="Z59" s="4"/>
      <c r="AA59" s="1" t="s">
        <v>228</v>
      </c>
      <c r="AB59" s="4"/>
      <c r="AC59" s="173"/>
    </row>
    <row r="60" spans="1:29" ht="14.25" customHeight="1">
      <c r="A60" s="84"/>
      <c r="D60" s="170"/>
      <c r="E60" s="174"/>
      <c r="F60" s="170"/>
      <c r="G60" s="172"/>
      <c r="H60" s="171"/>
      <c r="I60" s="175"/>
      <c r="J60" s="170"/>
      <c r="S60" s="7">
        <f t="shared" ref="S60:AB60" si="1">SUM(S7:S56)</f>
        <v>11747.5</v>
      </c>
      <c r="T60" s="6">
        <f t="shared" si="1"/>
        <v>14152</v>
      </c>
      <c r="U60" s="7">
        <f t="shared" si="1"/>
        <v>3239</v>
      </c>
      <c r="V60" s="8">
        <f t="shared" si="1"/>
        <v>32662.5</v>
      </c>
      <c r="W60" s="5">
        <f t="shared" si="1"/>
        <v>1297.5</v>
      </c>
      <c r="X60" s="6">
        <f t="shared" si="1"/>
        <v>34602.372000000003</v>
      </c>
      <c r="Y60" s="7">
        <f t="shared" si="1"/>
        <v>7062</v>
      </c>
      <c r="Z60" s="8">
        <f t="shared" si="1"/>
        <v>50637.75</v>
      </c>
      <c r="AA60" s="5">
        <f t="shared" si="1"/>
        <v>16349</v>
      </c>
      <c r="AB60" s="8">
        <f t="shared" si="1"/>
        <v>2350</v>
      </c>
    </row>
    <row r="61" spans="1:29">
      <c r="A61" s="84"/>
      <c r="D61" s="170"/>
      <c r="E61" s="170"/>
      <c r="F61" s="170"/>
      <c r="G61" s="170"/>
      <c r="H61" s="171"/>
      <c r="I61" s="176"/>
      <c r="J61" s="170"/>
      <c r="L61" s="168"/>
      <c r="M61" s="168"/>
      <c r="N61" s="168"/>
      <c r="O61" s="177"/>
      <c r="R61" s="177"/>
      <c r="S61" s="11" t="s">
        <v>229</v>
      </c>
      <c r="T61" s="10" t="s">
        <v>25</v>
      </c>
      <c r="U61" s="11" t="s">
        <v>229</v>
      </c>
      <c r="V61" s="12" t="s">
        <v>25</v>
      </c>
      <c r="W61" s="9" t="s">
        <v>229</v>
      </c>
      <c r="X61" s="10" t="s">
        <v>25</v>
      </c>
      <c r="Y61" s="11" t="s">
        <v>229</v>
      </c>
      <c r="Z61" s="12" t="s">
        <v>25</v>
      </c>
      <c r="AA61" s="9" t="s">
        <v>229</v>
      </c>
      <c r="AB61" s="12" t="s">
        <v>25</v>
      </c>
      <c r="AC61" s="166"/>
    </row>
    <row r="62" spans="1:29" ht="12" thickBot="1">
      <c r="A62" s="48"/>
      <c r="D62" s="170"/>
      <c r="H62" s="171"/>
      <c r="I62" s="170"/>
      <c r="J62" s="170"/>
      <c r="L62" s="168"/>
      <c r="M62" s="168"/>
      <c r="N62" s="168"/>
      <c r="O62" s="178">
        <f>SUM(O22:O56)</f>
        <v>143430250</v>
      </c>
      <c r="Q62" s="179">
        <f>SUM(Q22:Q56)</f>
        <v>15335628</v>
      </c>
      <c r="R62" s="177"/>
      <c r="S62" s="15">
        <f>S60/SUM(S60:T60)</f>
        <v>0.45358018494565533</v>
      </c>
      <c r="T62" s="14">
        <f>T60/SUM(S60:T60)</f>
        <v>0.54641981505434467</v>
      </c>
      <c r="U62" s="15">
        <f>U60/SUM(U60:V60)</f>
        <v>9.0219071626533712E-2</v>
      </c>
      <c r="V62" s="16">
        <f>V60/SUM(U60:V60)</f>
        <v>0.90978092837346625</v>
      </c>
      <c r="W62" s="13">
        <f>W60/SUM(W60:X60)</f>
        <v>3.6142190144856222E-2</v>
      </c>
      <c r="X62" s="14">
        <f>X60/SUM(W60:X60)</f>
        <v>0.9638578098551438</v>
      </c>
      <c r="Y62" s="15">
        <f>Y60/SUM(Y60:Z60)</f>
        <v>0.12239221140472879</v>
      </c>
      <c r="Z62" s="16">
        <f>Z60/SUM(Y60:Z60)</f>
        <v>0.87760778859527122</v>
      </c>
      <c r="AA62" s="13">
        <f>AA60/SUM(AA60:AB60)</f>
        <v>0.87432483020482377</v>
      </c>
      <c r="AB62" s="16">
        <f>AB60/SUM(AA60:AB60)</f>
        <v>0.12567516979517621</v>
      </c>
      <c r="AC62" s="166"/>
    </row>
    <row r="63" spans="1:29" ht="12.75" customHeight="1">
      <c r="A63" s="84"/>
      <c r="D63" s="170"/>
      <c r="E63" s="180"/>
      <c r="F63" s="162"/>
      <c r="G63" s="181"/>
      <c r="J63" s="180"/>
      <c r="O63" s="182"/>
      <c r="Q63" s="182"/>
      <c r="R63" s="182"/>
      <c r="AA63" s="196">
        <f>SUM(S60:AB60)</f>
        <v>174099.622</v>
      </c>
      <c r="AB63" s="196"/>
      <c r="AC63" s="183">
        <f>SUM(AC7:AC56)</f>
        <v>146124.622</v>
      </c>
    </row>
    <row r="64" spans="1:29" s="161" customFormat="1">
      <c r="A64" s="84"/>
      <c r="B64" s="17"/>
      <c r="C64" s="17"/>
      <c r="E64" s="180"/>
      <c r="F64" s="162"/>
      <c r="G64" s="181"/>
      <c r="H64" s="162"/>
      <c r="I64" s="163"/>
      <c r="J64" s="180"/>
      <c r="O64" s="184"/>
      <c r="Q64" s="184"/>
      <c r="R64" s="18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9:18">
      <c r="I65" s="84"/>
      <c r="J65" s="162"/>
      <c r="K65" s="185"/>
      <c r="O65" s="186"/>
      <c r="P65" s="186"/>
      <c r="R65" s="165"/>
    </row>
    <row r="66" spans="9:18">
      <c r="I66" s="84"/>
      <c r="J66" s="162"/>
      <c r="K66" s="185"/>
      <c r="O66" s="186"/>
      <c r="P66" s="186"/>
    </row>
    <row r="67" spans="9:18">
      <c r="I67" s="187"/>
      <c r="J67" s="162"/>
      <c r="K67" s="185"/>
      <c r="O67" s="186"/>
    </row>
    <row r="68" spans="9:18">
      <c r="I68" s="187"/>
      <c r="J68" s="162"/>
      <c r="K68" s="185"/>
      <c r="O68" s="186"/>
      <c r="P68" s="186"/>
    </row>
    <row r="69" spans="9:18">
      <c r="I69" s="187"/>
      <c r="J69" s="162"/>
      <c r="K69" s="185"/>
      <c r="O69" s="186"/>
    </row>
    <row r="70" spans="9:18">
      <c r="I70" s="84"/>
      <c r="J70" s="162"/>
      <c r="K70" s="185"/>
      <c r="O70" s="186"/>
      <c r="P70" s="186"/>
    </row>
    <row r="71" spans="9:18">
      <c r="I71" s="187"/>
      <c r="J71" s="162"/>
      <c r="K71" s="185"/>
      <c r="O71" s="186"/>
      <c r="P71" s="186"/>
    </row>
    <row r="72" spans="9:18">
      <c r="I72" s="187"/>
      <c r="J72" s="162"/>
      <c r="K72" s="185"/>
      <c r="O72" s="186"/>
    </row>
    <row r="73" spans="9:18">
      <c r="I73" s="84"/>
      <c r="J73" s="162"/>
      <c r="K73" s="185"/>
      <c r="O73" s="186"/>
      <c r="P73" s="186"/>
    </row>
    <row r="74" spans="9:18">
      <c r="I74" s="187"/>
      <c r="J74" s="162"/>
      <c r="K74" s="185"/>
      <c r="O74" s="186"/>
    </row>
    <row r="75" spans="9:18">
      <c r="I75" s="187"/>
      <c r="J75" s="162"/>
      <c r="K75" s="185"/>
      <c r="O75" s="186"/>
      <c r="P75" s="186"/>
    </row>
    <row r="76" spans="9:18">
      <c r="I76" s="187"/>
      <c r="J76" s="162"/>
      <c r="K76" s="185"/>
      <c r="O76" s="186"/>
    </row>
    <row r="77" spans="9:18">
      <c r="I77" s="187"/>
      <c r="J77" s="162"/>
      <c r="K77" s="185"/>
      <c r="O77" s="186"/>
    </row>
    <row r="78" spans="9:18">
      <c r="I78" s="187"/>
      <c r="J78" s="162"/>
      <c r="K78" s="185"/>
      <c r="O78" s="186"/>
    </row>
    <row r="79" spans="9:18">
      <c r="I79" s="187"/>
      <c r="J79" s="162"/>
      <c r="K79" s="185"/>
      <c r="O79" s="186"/>
    </row>
    <row r="80" spans="9:18">
      <c r="I80" s="187"/>
      <c r="J80" s="162"/>
      <c r="K80" s="185"/>
      <c r="O80" s="186"/>
    </row>
    <row r="81" spans="9:16">
      <c r="I81" s="187"/>
      <c r="J81" s="162"/>
      <c r="K81" s="185"/>
      <c r="O81" s="186"/>
      <c r="P81" s="186"/>
    </row>
    <row r="82" spans="9:16">
      <c r="I82" s="187"/>
      <c r="J82" s="162"/>
      <c r="K82" s="185"/>
      <c r="O82" s="186"/>
    </row>
    <row r="83" spans="9:16">
      <c r="I83" s="187"/>
      <c r="J83" s="162"/>
      <c r="K83" s="185"/>
      <c r="O83" s="186"/>
    </row>
    <row r="84" spans="9:16">
      <c r="I84" s="187"/>
      <c r="J84" s="162"/>
      <c r="K84" s="185"/>
      <c r="O84" s="186"/>
    </row>
    <row r="85" spans="9:16">
      <c r="I85" s="187"/>
      <c r="J85" s="162"/>
      <c r="K85" s="185"/>
      <c r="O85" s="186"/>
    </row>
    <row r="86" spans="9:16">
      <c r="I86" s="187"/>
      <c r="J86" s="162"/>
      <c r="K86" s="185"/>
      <c r="O86" s="186"/>
    </row>
    <row r="87" spans="9:16">
      <c r="I87" s="187"/>
      <c r="J87" s="162"/>
      <c r="K87" s="185"/>
      <c r="O87" s="186"/>
    </row>
    <row r="88" spans="9:16">
      <c r="I88" s="187"/>
      <c r="J88" s="162"/>
      <c r="K88" s="185"/>
      <c r="O88" s="186"/>
      <c r="P88" s="186"/>
    </row>
    <row r="89" spans="9:16">
      <c r="I89" s="187"/>
      <c r="J89" s="162"/>
      <c r="K89" s="185"/>
      <c r="O89" s="186"/>
    </row>
    <row r="90" spans="9:16">
      <c r="I90" s="187"/>
      <c r="J90" s="162"/>
      <c r="K90" s="185"/>
      <c r="O90" s="186"/>
    </row>
    <row r="91" spans="9:16">
      <c r="I91" s="84"/>
      <c r="J91" s="162"/>
      <c r="K91" s="185"/>
    </row>
    <row r="92" spans="9:16">
      <c r="I92" s="187"/>
      <c r="J92" s="162"/>
      <c r="K92" s="185"/>
    </row>
    <row r="93" spans="9:16">
      <c r="I93" s="187"/>
      <c r="J93" s="162"/>
      <c r="K93" s="185"/>
    </row>
    <row r="94" spans="9:16">
      <c r="I94" s="187"/>
      <c r="J94" s="162"/>
      <c r="K94" s="185"/>
    </row>
    <row r="95" spans="9:16">
      <c r="I95" s="187"/>
      <c r="J95" s="162"/>
      <c r="K95" s="185"/>
    </row>
    <row r="96" spans="9:16">
      <c r="I96" s="84"/>
      <c r="J96" s="162"/>
      <c r="K96" s="185"/>
    </row>
    <row r="97" spans="9:11">
      <c r="I97" s="84"/>
      <c r="J97" s="162"/>
      <c r="K97" s="185"/>
    </row>
    <row r="98" spans="9:11">
      <c r="I98" s="84"/>
      <c r="J98" s="162"/>
      <c r="K98" s="163"/>
    </row>
    <row r="99" spans="9:11">
      <c r="I99" s="187"/>
      <c r="J99" s="162"/>
      <c r="K99" s="163"/>
    </row>
    <row r="100" spans="9:11">
      <c r="I100" s="187"/>
      <c r="J100" s="162"/>
      <c r="K100" s="163"/>
    </row>
    <row r="101" spans="9:11">
      <c r="I101" s="187"/>
      <c r="J101" s="162"/>
      <c r="K101" s="163"/>
    </row>
    <row r="102" spans="9:11">
      <c r="I102" s="187"/>
      <c r="J102" s="162"/>
      <c r="K102" s="163"/>
    </row>
    <row r="103" spans="9:11">
      <c r="I103" s="187"/>
      <c r="J103" s="162"/>
      <c r="K103" s="163"/>
    </row>
    <row r="104" spans="9:11">
      <c r="I104" s="187"/>
      <c r="J104" s="162"/>
      <c r="K104" s="163"/>
    </row>
    <row r="105" spans="9:11">
      <c r="I105" s="187"/>
      <c r="J105" s="162"/>
      <c r="K105" s="163"/>
    </row>
    <row r="106" spans="9:11">
      <c r="I106" s="84"/>
      <c r="J106" s="162"/>
    </row>
    <row r="107" spans="9:11">
      <c r="I107" s="84"/>
      <c r="J107" s="162"/>
    </row>
    <row r="108" spans="9:11">
      <c r="I108" s="84"/>
      <c r="J108" s="162"/>
    </row>
    <row r="109" spans="9:11">
      <c r="I109" s="84"/>
      <c r="J109" s="162"/>
    </row>
  </sheetData>
  <mergeCells count="6">
    <mergeCell ref="AA63:AB63"/>
    <mergeCell ref="D5:E5"/>
    <mergeCell ref="F5:H5"/>
    <mergeCell ref="I5:I6"/>
    <mergeCell ref="K5:R5"/>
    <mergeCell ref="D1:I1"/>
  </mergeCells>
  <pageMargins left="0.25" right="0.25" top="0.25" bottom="0.5" header="0.3" footer="0.3"/>
  <pageSetup paperSize="5" scale="9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First Five Year Program (prop)</vt:lpstr>
      <vt:lpstr>'First Five Year Program (prop)'!Print_Area</vt:lpstr>
      <vt:lpstr>'First Five Year Program (prop)'!Print_Titles</vt:lpstr>
    </vt:vector>
  </TitlesOfParts>
  <Company>Iteris,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T. Daly</dc:creator>
  <cp:lastModifiedBy>Kim</cp:lastModifiedBy>
  <cp:lastPrinted>2011-04-22T18:23:44Z</cp:lastPrinted>
  <dcterms:created xsi:type="dcterms:W3CDTF">2011-04-07T16:26:02Z</dcterms:created>
  <dcterms:modified xsi:type="dcterms:W3CDTF">2011-04-22T18:36:24Z</dcterms:modified>
</cp:coreProperties>
</file>